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filterPrivacy="1" codeName="Tento_zošit"/>
  <xr:revisionPtr revIDLastSave="6" documentId="8_{DD8FB339-D751-4E23-8609-A3CB8388A11C}" xr6:coauthVersionLast="47" xr6:coauthVersionMax="47" xr10:uidLastSave="{94C2D63E-B99C-451B-B11C-CB37843AA766}"/>
  <bookViews>
    <workbookView xWindow="-120" yWindow="-120" windowWidth="29040" windowHeight="15720" tabRatio="737" xr2:uid="{00000000-000D-0000-FFFF-FFFF00000000}"/>
  </bookViews>
  <sheets>
    <sheet name="Úvod" sheetId="5" r:id="rId1"/>
    <sheet name="Zoznam_Harkov" sheetId="40" r:id="rId2"/>
    <sheet name="Sumarizácia" sheetId="20" r:id="rId3"/>
    <sheet name="Zdroje Financovania" sheetId="39" r:id="rId4"/>
    <sheet name="CBA - Agendové IS" sheetId="2" r:id="rId5"/>
    <sheet name="Výdavky - Agendové IS" sheetId="6" r:id="rId6"/>
    <sheet name="Prínosy - Agendové IS" sheetId="4" r:id="rId7"/>
    <sheet name="Parametre - Agendové IS" sheetId="3" r:id="rId8"/>
    <sheet name="MODULY_CBA" sheetId="32" r:id="rId9"/>
    <sheet name="Parametre_ECF_TCF" sheetId="43" state="hidden" r:id="rId10"/>
    <sheet name="INKREMENTY" sheetId="36" r:id="rId11"/>
    <sheet name="KATALOG_POZIADAVKY" sheetId="30" r:id="rId12"/>
    <sheet name="TCF_v02" sheetId="33" r:id="rId13"/>
    <sheet name="ECF_v02" sheetId="34" r:id="rId14"/>
    <sheet name="UAW_v02" sheetId="35" r:id="rId15"/>
    <sheet name="AKTIVITY_POZICIE" sheetId="29" r:id="rId16"/>
    <sheet name="POZICIE_INTERNE" sheetId="37" r:id="rId17"/>
    <sheet name="Rozpocet - Vyvoj aplikacii" sheetId="26" r:id="rId18"/>
    <sheet name="ISCO_Prevodnik" sheetId="44" state="hidden" r:id="rId19"/>
    <sheet name="Rozpočet - HW a licencie" sheetId="27" r:id="rId20"/>
    <sheet name="Harmonogram" sheetId="28" r:id="rId21"/>
    <sheet name="TCO" sheetId="11" r:id="rId22"/>
    <sheet name="TCO AS IS - SW" sheetId="17" r:id="rId23"/>
    <sheet name="TCO AS IS - HW" sheetId="18" r:id="rId24"/>
    <sheet name="TCO TO BE- SW" sheetId="9" r:id="rId25"/>
    <sheet name="TCO TO BE - HW" sheetId="10" r:id="rId26"/>
    <sheet name="Faktory" sheetId="1" r:id="rId27"/>
    <sheet name="Ciselnik" sheetId="38" state="hidden" r:id="rId28"/>
    <sheet name="Procesné mapy" sheetId="22" r:id="rId29"/>
    <sheet name="Procesy - AS IS" sheetId="23" r:id="rId30"/>
    <sheet name="Procesy - TO BE" sheetId="24" r:id="rId31"/>
    <sheet name="Analyza citlivosti - AgendovéIS" sheetId="7" r:id="rId32"/>
    <sheet name="Rozdelenie prínosov" sheetId="14" state="hidden" r:id="rId33"/>
  </sheets>
  <externalReferences>
    <externalReference r:id="rId34"/>
  </externalReferences>
  <definedNames>
    <definedName name="_xlnm._FilterDatabase" localSheetId="11" hidden="1">KATALOG_POZIADAVKY!$A$2:$AE$300</definedName>
    <definedName name="_xlnm._FilterDatabase" localSheetId="17" hidden="1">'Rozpocet - Vyvoj aplikacii'!$B$2:$L$65</definedName>
    <definedName name="_xlnm._FilterDatabase" localSheetId="19" hidden="1">'Rozpočet - HW a licencie'!$A$2:$J$47</definedName>
    <definedName name="_ftn1" localSheetId="25">'TCO TO BE - HW'!$AB$81</definedName>
    <definedName name="_ftnref1" localSheetId="25">'TCO TO BE - HW'!$AB$76</definedName>
    <definedName name="Bezpecnost">ISCO_Prevodnik!$J$2:$J$3</definedName>
    <definedName name="Databazy">ISCO_Prevodnik!$H$2:$H$3</definedName>
    <definedName name="Faza" localSheetId="16">POZICIE_INTERNE!$A$4:$A$7</definedName>
    <definedName name="Faza">AKTIVITY_POZICIE!$A$4:$A$7</definedName>
    <definedName name="Ine">ISCO_Prevodnik!$L$2:$L$8</definedName>
    <definedName name="Infrastrutkura">ISCO_Prevodnik!$G$2</definedName>
    <definedName name="Inkrement">INKREMENTY!$A$2:$A$21</definedName>
    <definedName name="IT_analytik">ISCO_Prevodnik!$C$2</definedName>
    <definedName name="IT_architekt">ISCO_Prevodnik!$D$2:$D$3</definedName>
    <definedName name="IT_konzultant">ISCO_Prevodnik!$I$2</definedName>
    <definedName name="IT_programator">ISCO_Prevodnik!$B$2:$B$3</definedName>
    <definedName name="IT_tester">ISCO_Prevodnik!$F$2</definedName>
    <definedName name="Kvalita">ISCO_Prevodnik!$E$2</definedName>
    <definedName name="MODULY">MODULY_CBA!$B$3:$B$23</definedName>
    <definedName name="Moduly_2">MODULY_CBA!$B$3:$B$21</definedName>
    <definedName name="PF">[1]CISELNIK!$A$2:$A$6</definedName>
    <definedName name="Poziadavky">[1]CISELNIK!$B$2:$B$4</definedName>
    <definedName name="Pozicia" localSheetId="16">POZICIE_INTERNE!$M$4:$M$27</definedName>
    <definedName name="Pozicia">AKTIVITY_POZICIE!$Q$4:$Q$15</definedName>
    <definedName name="PozicieKomplet">AKTIVITY_POZICIE!$Q$4:$Q$27</definedName>
    <definedName name="_xlnm.Print_Area" localSheetId="28">'Procesné mapy'!$A$1:$AV$43</definedName>
    <definedName name="Projektovy_manazer">ISCO_Prevodnik!$A$2</definedName>
    <definedName name="Projektový_manažér">ISCO_Prevodnik!$A$2</definedName>
    <definedName name="Subjekt">Ciselnik!$A$2:$A$9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E14" i="26" l="1"/>
  <c r="E13" i="26"/>
  <c r="E12" i="26"/>
  <c r="E11" i="26"/>
  <c r="E10" i="26"/>
  <c r="E9" i="26"/>
  <c r="E8" i="26"/>
  <c r="E7" i="26"/>
  <c r="E6" i="26"/>
  <c r="E5" i="26"/>
  <c r="E4" i="26"/>
  <c r="E3" i="26"/>
  <c r="N1" i="29"/>
  <c r="J14" i="26"/>
  <c r="J3" i="26"/>
  <c r="I83" i="9"/>
  <c r="I84" i="9"/>
  <c r="I85" i="9"/>
  <c r="I86" i="9"/>
  <c r="I87" i="9"/>
  <c r="I88" i="9"/>
  <c r="I82" i="9"/>
  <c r="F83" i="9"/>
  <c r="F84" i="9"/>
  <c r="F85" i="9"/>
  <c r="F86" i="9"/>
  <c r="F87" i="9"/>
  <c r="F88" i="9"/>
  <c r="F82" i="9"/>
  <c r="I4" i="27"/>
  <c r="H7" i="9" l="1"/>
  <c r="H8" i="9"/>
  <c r="H9" i="9"/>
  <c r="H10" i="9"/>
  <c r="H11" i="9"/>
  <c r="H12" i="9"/>
  <c r="H13" i="9"/>
  <c r="H14" i="9"/>
  <c r="H15" i="9"/>
  <c r="H6" i="9"/>
  <c r="J2" i="3" l="1"/>
  <c r="M2" i="3"/>
  <c r="G2" i="3"/>
  <c r="D3" i="11" l="1"/>
  <c r="D28" i="29"/>
  <c r="D16" i="29"/>
  <c r="D4" i="29"/>
  <c r="G2" i="37"/>
  <c r="I1" i="37"/>
  <c r="L34" i="29"/>
  <c r="L31" i="29"/>
  <c r="L30" i="29"/>
  <c r="L29" i="29"/>
  <c r="L22" i="29"/>
  <c r="L19" i="29"/>
  <c r="L18" i="29"/>
  <c r="L17" i="29"/>
  <c r="L10" i="29"/>
  <c r="L7" i="29"/>
  <c r="L5" i="29"/>
  <c r="L6" i="29"/>
  <c r="G29" i="37"/>
  <c r="G17" i="37"/>
  <c r="G5" i="37"/>
  <c r="J3" i="32" l="1"/>
  <c r="J5" i="32"/>
  <c r="J4" i="32" l="1"/>
  <c r="J6" i="32"/>
  <c r="J1" i="32" l="1"/>
  <c r="F153" i="9" l="1"/>
  <c r="F154" i="9"/>
  <c r="F155" i="9"/>
  <c r="F156" i="9"/>
  <c r="F157" i="9"/>
  <c r="F158" i="9"/>
  <c r="F159" i="9"/>
  <c r="F160" i="9"/>
  <c r="F162" i="9"/>
  <c r="F163" i="9"/>
  <c r="F164" i="9"/>
  <c r="F165" i="9"/>
  <c r="F166" i="9"/>
  <c r="F167" i="9"/>
  <c r="F168" i="9"/>
  <c r="F169" i="9"/>
  <c r="F170" i="9"/>
  <c r="F171" i="9"/>
  <c r="I9" i="27"/>
  <c r="I7" i="9" s="1"/>
  <c r="I10" i="27"/>
  <c r="I5" i="27"/>
  <c r="F6" i="9" s="1"/>
  <c r="I6" i="27"/>
  <c r="I8" i="9" l="1"/>
  <c r="I3" i="27" l="1"/>
  <c r="F8" i="9" l="1"/>
  <c r="F7" i="9"/>
  <c r="K6" i="3"/>
  <c r="K7" i="3"/>
  <c r="K8" i="3"/>
  <c r="K9" i="3"/>
  <c r="K10" i="3"/>
  <c r="K11" i="3"/>
  <c r="K12" i="3"/>
  <c r="K13" i="3"/>
  <c r="K14" i="3"/>
  <c r="K5" i="3"/>
  <c r="J6" i="3"/>
  <c r="J7" i="3"/>
  <c r="J8" i="3"/>
  <c r="J9" i="3"/>
  <c r="J10" i="3"/>
  <c r="J11" i="3"/>
  <c r="J12" i="3"/>
  <c r="J13" i="3"/>
  <c r="J14" i="3"/>
  <c r="J5" i="3"/>
  <c r="L11" i="29"/>
  <c r="L12" i="29"/>
  <c r="L13" i="29"/>
  <c r="L14" i="29"/>
  <c r="L15" i="29"/>
  <c r="L16" i="29"/>
  <c r="L20" i="29"/>
  <c r="L21" i="29"/>
  <c r="L23" i="29"/>
  <c r="L24" i="29"/>
  <c r="L25" i="29"/>
  <c r="L26" i="29"/>
  <c r="L27" i="29"/>
  <c r="L28" i="29"/>
  <c r="L32" i="29"/>
  <c r="L33" i="29"/>
  <c r="L8" i="29"/>
  <c r="L9" i="29"/>
  <c r="L4" i="29"/>
  <c r="F95" i="9" l="1"/>
  <c r="F98" i="9"/>
  <c r="F92" i="9"/>
  <c r="F93" i="9"/>
  <c r="F97" i="9"/>
  <c r="F79" i="9"/>
  <c r="F90" i="9"/>
  <c r="F81" i="9"/>
  <c r="F96" i="9"/>
  <c r="F91" i="9"/>
  <c r="F80" i="9"/>
  <c r="F94" i="9"/>
  <c r="F89" i="9"/>
  <c r="M4" i="29"/>
  <c r="F78" i="9" l="1"/>
  <c r="A63" i="37"/>
  <c r="A64" i="37"/>
  <c r="B64" i="37"/>
  <c r="G4" i="29"/>
  <c r="I4" i="29"/>
  <c r="G5" i="29"/>
  <c r="I5" i="29"/>
  <c r="G6" i="29"/>
  <c r="I6" i="29"/>
  <c r="G7" i="29"/>
  <c r="I7" i="29"/>
  <c r="G8" i="29"/>
  <c r="I8" i="29"/>
  <c r="G9" i="29"/>
  <c r="I9" i="29"/>
  <c r="G10" i="29"/>
  <c r="I10" i="29"/>
  <c r="G11" i="29"/>
  <c r="I11" i="29"/>
  <c r="G12" i="29"/>
  <c r="I12" i="29"/>
  <c r="G13" i="29"/>
  <c r="I13" i="29"/>
  <c r="G14" i="29"/>
  <c r="I14" i="29"/>
  <c r="G15" i="29"/>
  <c r="I15" i="29"/>
  <c r="G16" i="29"/>
  <c r="I16" i="29"/>
  <c r="G17" i="29"/>
  <c r="I17" i="29"/>
  <c r="G18" i="29"/>
  <c r="I18" i="29"/>
  <c r="G19" i="29"/>
  <c r="I19" i="29"/>
  <c r="G20" i="29"/>
  <c r="I20" i="29"/>
  <c r="G21" i="29"/>
  <c r="I21" i="29"/>
  <c r="G22" i="29"/>
  <c r="I22" i="29"/>
  <c r="G23" i="29"/>
  <c r="I23" i="29"/>
  <c r="G24" i="29"/>
  <c r="I24" i="29"/>
  <c r="G25" i="29"/>
  <c r="I25" i="29"/>
  <c r="G26" i="29"/>
  <c r="I26" i="29"/>
  <c r="G27" i="29"/>
  <c r="I27" i="29"/>
  <c r="G28" i="29"/>
  <c r="I28" i="29"/>
  <c r="G29" i="29"/>
  <c r="I29" i="29"/>
  <c r="G30" i="29"/>
  <c r="I30" i="29"/>
  <c r="G31" i="29"/>
  <c r="I31" i="29"/>
  <c r="I4" i="4" l="1"/>
  <c r="H4" i="4"/>
  <c r="G4" i="4"/>
  <c r="F4" i="4"/>
  <c r="K300" i="30"/>
  <c r="Q300" i="30"/>
  <c r="J300" i="30"/>
  <c r="Q299" i="30"/>
  <c r="N299" i="30"/>
  <c r="M299" i="30"/>
  <c r="L299" i="30"/>
  <c r="K299" i="30"/>
  <c r="J299" i="30"/>
  <c r="Q298" i="30"/>
  <c r="N298" i="30"/>
  <c r="M298" i="30"/>
  <c r="L298" i="30"/>
  <c r="K298" i="30"/>
  <c r="J298" i="30"/>
  <c r="Q297" i="30"/>
  <c r="N297" i="30"/>
  <c r="M297" i="30"/>
  <c r="L297" i="30"/>
  <c r="K297" i="30"/>
  <c r="J297" i="30"/>
  <c r="Q296" i="30"/>
  <c r="N296" i="30"/>
  <c r="M296" i="30"/>
  <c r="L296" i="30"/>
  <c r="K296" i="30"/>
  <c r="J296" i="30"/>
  <c r="Q295" i="30"/>
  <c r="N295" i="30"/>
  <c r="M295" i="30"/>
  <c r="L295" i="30"/>
  <c r="K295" i="30"/>
  <c r="J295" i="30"/>
  <c r="Q294" i="30"/>
  <c r="N294" i="30"/>
  <c r="M294" i="30"/>
  <c r="L294" i="30"/>
  <c r="K294" i="30"/>
  <c r="J294" i="30"/>
  <c r="Q293" i="30"/>
  <c r="N293" i="30"/>
  <c r="M293" i="30"/>
  <c r="L293" i="30"/>
  <c r="K293" i="30"/>
  <c r="J293" i="30"/>
  <c r="Q292" i="30"/>
  <c r="N292" i="30"/>
  <c r="M292" i="30"/>
  <c r="L292" i="30"/>
  <c r="K292" i="30"/>
  <c r="J292" i="30"/>
  <c r="Q291" i="30"/>
  <c r="N291" i="30"/>
  <c r="M291" i="30"/>
  <c r="L291" i="30"/>
  <c r="K291" i="30"/>
  <c r="J291" i="30"/>
  <c r="Q290" i="30"/>
  <c r="N290" i="30"/>
  <c r="M290" i="30"/>
  <c r="L290" i="30"/>
  <c r="K290" i="30"/>
  <c r="J290" i="30"/>
  <c r="Q289" i="30"/>
  <c r="N289" i="30"/>
  <c r="M289" i="30"/>
  <c r="L289" i="30"/>
  <c r="K289" i="30"/>
  <c r="J289" i="30"/>
  <c r="Q288" i="30"/>
  <c r="N288" i="30"/>
  <c r="M288" i="30"/>
  <c r="L288" i="30"/>
  <c r="K288" i="30"/>
  <c r="J288" i="30"/>
  <c r="Q287" i="30"/>
  <c r="N287" i="30"/>
  <c r="M287" i="30"/>
  <c r="L287" i="30"/>
  <c r="K287" i="30"/>
  <c r="J287" i="30"/>
  <c r="Q286" i="30"/>
  <c r="N286" i="30"/>
  <c r="M286" i="30"/>
  <c r="L286" i="30"/>
  <c r="K286" i="30"/>
  <c r="J286" i="30"/>
  <c r="Q285" i="30"/>
  <c r="N285" i="30"/>
  <c r="M285" i="30"/>
  <c r="L285" i="30"/>
  <c r="K285" i="30"/>
  <c r="J285" i="30"/>
  <c r="Q284" i="30"/>
  <c r="N284" i="30"/>
  <c r="M284" i="30"/>
  <c r="L284" i="30"/>
  <c r="K284" i="30"/>
  <c r="J284" i="30"/>
  <c r="Q283" i="30"/>
  <c r="N283" i="30"/>
  <c r="M283" i="30"/>
  <c r="L283" i="30"/>
  <c r="K283" i="30"/>
  <c r="J283" i="30"/>
  <c r="Q282" i="30"/>
  <c r="N282" i="30"/>
  <c r="M282" i="30"/>
  <c r="L282" i="30"/>
  <c r="K282" i="30"/>
  <c r="J282" i="30"/>
  <c r="Q281" i="30"/>
  <c r="N281" i="30"/>
  <c r="M281" i="30"/>
  <c r="L281" i="30"/>
  <c r="K281" i="30"/>
  <c r="J281" i="30"/>
  <c r="Q280" i="30"/>
  <c r="N280" i="30"/>
  <c r="M280" i="30"/>
  <c r="L280" i="30"/>
  <c r="K280" i="30"/>
  <c r="J280" i="30"/>
  <c r="Q279" i="30"/>
  <c r="N279" i="30"/>
  <c r="M279" i="30"/>
  <c r="L279" i="30"/>
  <c r="K279" i="30"/>
  <c r="J279" i="30"/>
  <c r="Q278" i="30"/>
  <c r="N278" i="30"/>
  <c r="M278" i="30"/>
  <c r="L278" i="30"/>
  <c r="K278" i="30"/>
  <c r="J278" i="30"/>
  <c r="Q277" i="30"/>
  <c r="N277" i="30"/>
  <c r="M277" i="30"/>
  <c r="L277" i="30"/>
  <c r="K277" i="30"/>
  <c r="J277" i="30"/>
  <c r="Q276" i="30"/>
  <c r="N276" i="30"/>
  <c r="M276" i="30"/>
  <c r="L276" i="30"/>
  <c r="K276" i="30"/>
  <c r="J276" i="30"/>
  <c r="Q275" i="30"/>
  <c r="N275" i="30"/>
  <c r="M275" i="30"/>
  <c r="L275" i="30"/>
  <c r="K275" i="30"/>
  <c r="J275" i="30"/>
  <c r="Q274" i="30"/>
  <c r="N274" i="30"/>
  <c r="M274" i="30"/>
  <c r="L274" i="30"/>
  <c r="K274" i="30"/>
  <c r="J274" i="30"/>
  <c r="Q273" i="30"/>
  <c r="N273" i="30"/>
  <c r="M273" i="30"/>
  <c r="L273" i="30"/>
  <c r="K273" i="30"/>
  <c r="J273" i="30"/>
  <c r="Q272" i="30"/>
  <c r="N272" i="30"/>
  <c r="M272" i="30"/>
  <c r="L272" i="30"/>
  <c r="K272" i="30"/>
  <c r="J272" i="30"/>
  <c r="Q271" i="30"/>
  <c r="N271" i="30"/>
  <c r="M271" i="30"/>
  <c r="L271" i="30"/>
  <c r="K271" i="30"/>
  <c r="J271" i="30"/>
  <c r="Q270" i="30"/>
  <c r="N270" i="30"/>
  <c r="M270" i="30"/>
  <c r="L270" i="30"/>
  <c r="K270" i="30"/>
  <c r="J270" i="30"/>
  <c r="Q269" i="30"/>
  <c r="N269" i="30"/>
  <c r="M269" i="30"/>
  <c r="L269" i="30"/>
  <c r="K269" i="30"/>
  <c r="J269" i="30"/>
  <c r="Q268" i="30"/>
  <c r="N268" i="30"/>
  <c r="M268" i="30"/>
  <c r="L268" i="30"/>
  <c r="K268" i="30"/>
  <c r="J268" i="30"/>
  <c r="Q267" i="30"/>
  <c r="N267" i="30"/>
  <c r="M267" i="30"/>
  <c r="L267" i="30"/>
  <c r="K267" i="30"/>
  <c r="J267" i="30"/>
  <c r="Q266" i="30"/>
  <c r="N266" i="30"/>
  <c r="M266" i="30"/>
  <c r="L266" i="30"/>
  <c r="K266" i="30"/>
  <c r="J266" i="30"/>
  <c r="Q265" i="30"/>
  <c r="N265" i="30"/>
  <c r="M265" i="30"/>
  <c r="L265" i="30"/>
  <c r="K265" i="30"/>
  <c r="J265" i="30"/>
  <c r="Q264" i="30"/>
  <c r="N264" i="30"/>
  <c r="M264" i="30"/>
  <c r="L264" i="30"/>
  <c r="K264" i="30"/>
  <c r="J264" i="30"/>
  <c r="Q263" i="30"/>
  <c r="N263" i="30"/>
  <c r="M263" i="30"/>
  <c r="L263" i="30"/>
  <c r="K263" i="30"/>
  <c r="J263" i="30"/>
  <c r="Q262" i="30"/>
  <c r="N262" i="30"/>
  <c r="M262" i="30"/>
  <c r="L262" i="30"/>
  <c r="K262" i="30"/>
  <c r="J262" i="30"/>
  <c r="Q261" i="30"/>
  <c r="N261" i="30"/>
  <c r="M261" i="30"/>
  <c r="L261" i="30"/>
  <c r="K261" i="30"/>
  <c r="J261" i="30"/>
  <c r="Q260" i="30"/>
  <c r="N260" i="30"/>
  <c r="M260" i="30"/>
  <c r="L260" i="30"/>
  <c r="K260" i="30"/>
  <c r="J260" i="30"/>
  <c r="Q259" i="30"/>
  <c r="N259" i="30"/>
  <c r="M259" i="30"/>
  <c r="L259" i="30"/>
  <c r="K259" i="30"/>
  <c r="J259" i="30"/>
  <c r="Q258" i="30"/>
  <c r="N258" i="30"/>
  <c r="M258" i="30"/>
  <c r="L258" i="30"/>
  <c r="K258" i="30"/>
  <c r="J258" i="30"/>
  <c r="Q257" i="30"/>
  <c r="N257" i="30"/>
  <c r="M257" i="30"/>
  <c r="L257" i="30"/>
  <c r="K257" i="30"/>
  <c r="J257" i="30"/>
  <c r="Q256" i="30"/>
  <c r="N256" i="30"/>
  <c r="M256" i="30"/>
  <c r="L256" i="30"/>
  <c r="K256" i="30"/>
  <c r="J256" i="30"/>
  <c r="Q255" i="30"/>
  <c r="N255" i="30"/>
  <c r="M255" i="30"/>
  <c r="L255" i="30"/>
  <c r="K255" i="30"/>
  <c r="J255" i="30"/>
  <c r="Q254" i="30"/>
  <c r="N254" i="30"/>
  <c r="M254" i="30"/>
  <c r="L254" i="30"/>
  <c r="K254" i="30"/>
  <c r="J254" i="30"/>
  <c r="Q253" i="30"/>
  <c r="N253" i="30"/>
  <c r="M253" i="30"/>
  <c r="L253" i="30"/>
  <c r="K253" i="30"/>
  <c r="J253" i="30"/>
  <c r="Q252" i="30"/>
  <c r="N252" i="30"/>
  <c r="M252" i="30"/>
  <c r="L252" i="30"/>
  <c r="K252" i="30"/>
  <c r="J252" i="30"/>
  <c r="Q251" i="30"/>
  <c r="N251" i="30"/>
  <c r="M251" i="30"/>
  <c r="L251" i="30"/>
  <c r="K251" i="30"/>
  <c r="J251" i="30"/>
  <c r="Q250" i="30"/>
  <c r="N250" i="30"/>
  <c r="M250" i="30"/>
  <c r="L250" i="30"/>
  <c r="K250" i="30"/>
  <c r="J250" i="30"/>
  <c r="Q249" i="30"/>
  <c r="N249" i="30"/>
  <c r="M249" i="30"/>
  <c r="L249" i="30"/>
  <c r="K249" i="30"/>
  <c r="J249" i="30"/>
  <c r="Q248" i="30"/>
  <c r="N248" i="30"/>
  <c r="M248" i="30"/>
  <c r="L248" i="30"/>
  <c r="K248" i="30"/>
  <c r="J248" i="30"/>
  <c r="Q247" i="30"/>
  <c r="N247" i="30"/>
  <c r="M247" i="30"/>
  <c r="L247" i="30"/>
  <c r="K247" i="30"/>
  <c r="J247" i="30"/>
  <c r="Q246" i="30"/>
  <c r="N246" i="30"/>
  <c r="M246" i="30"/>
  <c r="L246" i="30"/>
  <c r="K246" i="30"/>
  <c r="J246" i="30"/>
  <c r="Q245" i="30"/>
  <c r="N245" i="30"/>
  <c r="M245" i="30"/>
  <c r="L245" i="30"/>
  <c r="K245" i="30"/>
  <c r="J245" i="30"/>
  <c r="Q244" i="30"/>
  <c r="N244" i="30"/>
  <c r="M244" i="30"/>
  <c r="L244" i="30"/>
  <c r="K244" i="30"/>
  <c r="J244" i="30"/>
  <c r="Q243" i="30"/>
  <c r="N243" i="30"/>
  <c r="M243" i="30"/>
  <c r="L243" i="30"/>
  <c r="K243" i="30"/>
  <c r="J243" i="30"/>
  <c r="Q242" i="30"/>
  <c r="N242" i="30"/>
  <c r="M242" i="30"/>
  <c r="L242" i="30"/>
  <c r="K242" i="30"/>
  <c r="J242" i="30"/>
  <c r="Q241" i="30"/>
  <c r="N241" i="30"/>
  <c r="M241" i="30"/>
  <c r="L241" i="30"/>
  <c r="K241" i="30"/>
  <c r="J241" i="30"/>
  <c r="Q240" i="30"/>
  <c r="N240" i="30"/>
  <c r="M240" i="30"/>
  <c r="L240" i="30"/>
  <c r="K240" i="30"/>
  <c r="J240" i="30"/>
  <c r="Q239" i="30"/>
  <c r="N239" i="30"/>
  <c r="M239" i="30"/>
  <c r="L239" i="30"/>
  <c r="K239" i="30"/>
  <c r="J239" i="30"/>
  <c r="Q238" i="30"/>
  <c r="N238" i="30"/>
  <c r="M238" i="30"/>
  <c r="L238" i="30"/>
  <c r="K238" i="30"/>
  <c r="J238" i="30"/>
  <c r="Q237" i="30"/>
  <c r="N237" i="30"/>
  <c r="M237" i="30"/>
  <c r="L237" i="30"/>
  <c r="K237" i="30"/>
  <c r="J237" i="30"/>
  <c r="Q236" i="30"/>
  <c r="N236" i="30"/>
  <c r="M236" i="30"/>
  <c r="L236" i="30"/>
  <c r="K236" i="30"/>
  <c r="J236" i="30"/>
  <c r="Q235" i="30"/>
  <c r="N235" i="30"/>
  <c r="M235" i="30"/>
  <c r="L235" i="30"/>
  <c r="K235" i="30"/>
  <c r="J235" i="30"/>
  <c r="Q234" i="30"/>
  <c r="N234" i="30"/>
  <c r="M234" i="30"/>
  <c r="L234" i="30"/>
  <c r="K234" i="30"/>
  <c r="J234" i="30"/>
  <c r="Q233" i="30"/>
  <c r="N233" i="30"/>
  <c r="M233" i="30"/>
  <c r="L233" i="30"/>
  <c r="K233" i="30"/>
  <c r="J233" i="30"/>
  <c r="Q232" i="30"/>
  <c r="N232" i="30"/>
  <c r="M232" i="30"/>
  <c r="L232" i="30"/>
  <c r="K232" i="30"/>
  <c r="J232" i="30"/>
  <c r="Q231" i="30"/>
  <c r="N231" i="30"/>
  <c r="M231" i="30"/>
  <c r="L231" i="30"/>
  <c r="K231" i="30"/>
  <c r="J231" i="30"/>
  <c r="Q230" i="30"/>
  <c r="N230" i="30"/>
  <c r="M230" i="30"/>
  <c r="L230" i="30"/>
  <c r="K230" i="30"/>
  <c r="J230" i="30"/>
  <c r="Q229" i="30"/>
  <c r="N229" i="30"/>
  <c r="M229" i="30"/>
  <c r="L229" i="30"/>
  <c r="K229" i="30"/>
  <c r="J229" i="30"/>
  <c r="Q228" i="30"/>
  <c r="N228" i="30"/>
  <c r="M228" i="30"/>
  <c r="L228" i="30"/>
  <c r="K228" i="30"/>
  <c r="J228" i="30"/>
  <c r="Q227" i="30"/>
  <c r="N227" i="30"/>
  <c r="M227" i="30"/>
  <c r="L227" i="30"/>
  <c r="K227" i="30"/>
  <c r="J227" i="30"/>
  <c r="Q226" i="30"/>
  <c r="N226" i="30"/>
  <c r="M226" i="30"/>
  <c r="L226" i="30"/>
  <c r="K226" i="30"/>
  <c r="J226" i="30"/>
  <c r="Q225" i="30"/>
  <c r="N225" i="30"/>
  <c r="M225" i="30"/>
  <c r="L225" i="30"/>
  <c r="K225" i="30"/>
  <c r="J225" i="30"/>
  <c r="Q224" i="30"/>
  <c r="N224" i="30"/>
  <c r="M224" i="30"/>
  <c r="L224" i="30"/>
  <c r="K224" i="30"/>
  <c r="J224" i="30"/>
  <c r="Q223" i="30"/>
  <c r="N223" i="30"/>
  <c r="M223" i="30"/>
  <c r="L223" i="30"/>
  <c r="K223" i="30"/>
  <c r="J223" i="30"/>
  <c r="Q222" i="30"/>
  <c r="N222" i="30"/>
  <c r="M222" i="30"/>
  <c r="L222" i="30"/>
  <c r="K222" i="30"/>
  <c r="J222" i="30"/>
  <c r="Q221" i="30"/>
  <c r="N221" i="30"/>
  <c r="M221" i="30"/>
  <c r="L221" i="30"/>
  <c r="K221" i="30"/>
  <c r="J221" i="30"/>
  <c r="Q220" i="30"/>
  <c r="N220" i="30"/>
  <c r="M220" i="30"/>
  <c r="L220" i="30"/>
  <c r="K220" i="30"/>
  <c r="J220" i="30"/>
  <c r="Q219" i="30"/>
  <c r="N219" i="30"/>
  <c r="M219" i="30"/>
  <c r="L219" i="30"/>
  <c r="K219" i="30"/>
  <c r="J219" i="30"/>
  <c r="Q218" i="30"/>
  <c r="N218" i="30"/>
  <c r="M218" i="30"/>
  <c r="L218" i="30"/>
  <c r="K218" i="30"/>
  <c r="J218" i="30"/>
  <c r="Q217" i="30"/>
  <c r="N217" i="30"/>
  <c r="M217" i="30"/>
  <c r="L217" i="30"/>
  <c r="K217" i="30"/>
  <c r="J217" i="30"/>
  <c r="Q216" i="30"/>
  <c r="N216" i="30"/>
  <c r="M216" i="30"/>
  <c r="L216" i="30"/>
  <c r="K216" i="30"/>
  <c r="J216" i="30"/>
  <c r="Q215" i="30"/>
  <c r="N215" i="30"/>
  <c r="M215" i="30"/>
  <c r="L215" i="30"/>
  <c r="K215" i="30"/>
  <c r="J215" i="30"/>
  <c r="Q214" i="30"/>
  <c r="N214" i="30"/>
  <c r="M214" i="30"/>
  <c r="L214" i="30"/>
  <c r="K214" i="30"/>
  <c r="J214" i="30"/>
  <c r="Q213" i="30"/>
  <c r="N213" i="30"/>
  <c r="M213" i="30"/>
  <c r="L213" i="30"/>
  <c r="K213" i="30"/>
  <c r="J213" i="30"/>
  <c r="Q212" i="30"/>
  <c r="N212" i="30"/>
  <c r="M212" i="30"/>
  <c r="L212" i="30"/>
  <c r="K212" i="30"/>
  <c r="J212" i="30"/>
  <c r="Q211" i="30"/>
  <c r="N211" i="30"/>
  <c r="M211" i="30"/>
  <c r="L211" i="30"/>
  <c r="K211" i="30"/>
  <c r="J211" i="30"/>
  <c r="Q210" i="30"/>
  <c r="N210" i="30"/>
  <c r="M210" i="30"/>
  <c r="L210" i="30"/>
  <c r="K210" i="30"/>
  <c r="J210" i="30"/>
  <c r="Q209" i="30"/>
  <c r="N209" i="30"/>
  <c r="M209" i="30"/>
  <c r="L209" i="30"/>
  <c r="K209" i="30"/>
  <c r="J209" i="30"/>
  <c r="Q208" i="30"/>
  <c r="N208" i="30"/>
  <c r="M208" i="30"/>
  <c r="L208" i="30"/>
  <c r="K208" i="30"/>
  <c r="J208" i="30"/>
  <c r="Q207" i="30"/>
  <c r="N207" i="30"/>
  <c r="M207" i="30"/>
  <c r="L207" i="30"/>
  <c r="K207" i="30"/>
  <c r="J207" i="30"/>
  <c r="Q206" i="30"/>
  <c r="N206" i="30"/>
  <c r="M206" i="30"/>
  <c r="L206" i="30"/>
  <c r="K206" i="30"/>
  <c r="J206" i="30"/>
  <c r="Q205" i="30"/>
  <c r="N205" i="30"/>
  <c r="M205" i="30"/>
  <c r="L205" i="30"/>
  <c r="K205" i="30"/>
  <c r="J205" i="30"/>
  <c r="Q204" i="30"/>
  <c r="N204" i="30"/>
  <c r="M204" i="30"/>
  <c r="L204" i="30"/>
  <c r="K204" i="30"/>
  <c r="J204" i="30"/>
  <c r="Q203" i="30"/>
  <c r="N203" i="30"/>
  <c r="M203" i="30"/>
  <c r="L203" i="30"/>
  <c r="K203" i="30"/>
  <c r="J203" i="30"/>
  <c r="Q202" i="30"/>
  <c r="N202" i="30"/>
  <c r="M202" i="30"/>
  <c r="L202" i="30"/>
  <c r="K202" i="30"/>
  <c r="J202" i="30"/>
  <c r="Q201" i="30"/>
  <c r="N201" i="30"/>
  <c r="M201" i="30"/>
  <c r="L201" i="30"/>
  <c r="K201" i="30"/>
  <c r="J201" i="30"/>
  <c r="Q200" i="30"/>
  <c r="N200" i="30"/>
  <c r="M200" i="30"/>
  <c r="L200" i="30"/>
  <c r="K200" i="30"/>
  <c r="J200" i="30"/>
  <c r="Q199" i="30"/>
  <c r="N199" i="30"/>
  <c r="M199" i="30"/>
  <c r="L199" i="30"/>
  <c r="K199" i="30"/>
  <c r="J199" i="30"/>
  <c r="Q198" i="30"/>
  <c r="N198" i="30"/>
  <c r="M198" i="30"/>
  <c r="L198" i="30"/>
  <c r="K198" i="30"/>
  <c r="J198" i="30"/>
  <c r="Q197" i="30"/>
  <c r="N197" i="30"/>
  <c r="M197" i="30"/>
  <c r="L197" i="30"/>
  <c r="K197" i="30"/>
  <c r="J197" i="30"/>
  <c r="Q196" i="30"/>
  <c r="N196" i="30"/>
  <c r="M196" i="30"/>
  <c r="L196" i="30"/>
  <c r="K196" i="30"/>
  <c r="J196" i="30"/>
  <c r="Q195" i="30"/>
  <c r="N195" i="30"/>
  <c r="M195" i="30"/>
  <c r="L195" i="30"/>
  <c r="K195" i="30"/>
  <c r="J195" i="30"/>
  <c r="Q194" i="30"/>
  <c r="N194" i="30"/>
  <c r="M194" i="30"/>
  <c r="L194" i="30"/>
  <c r="K194" i="30"/>
  <c r="J194" i="30"/>
  <c r="Q193" i="30"/>
  <c r="N193" i="30"/>
  <c r="M193" i="30"/>
  <c r="L193" i="30"/>
  <c r="K193" i="30"/>
  <c r="J193" i="30"/>
  <c r="Q192" i="30"/>
  <c r="N192" i="30"/>
  <c r="M192" i="30"/>
  <c r="L192" i="30"/>
  <c r="K192" i="30"/>
  <c r="J192" i="30"/>
  <c r="Q191" i="30"/>
  <c r="N191" i="30"/>
  <c r="M191" i="30"/>
  <c r="L191" i="30"/>
  <c r="K191" i="30"/>
  <c r="J191" i="30"/>
  <c r="Q190" i="30"/>
  <c r="N190" i="30"/>
  <c r="M190" i="30"/>
  <c r="L190" i="30"/>
  <c r="K190" i="30"/>
  <c r="J190" i="30"/>
  <c r="Q189" i="30"/>
  <c r="N189" i="30"/>
  <c r="M189" i="30"/>
  <c r="L189" i="30"/>
  <c r="K189" i="30"/>
  <c r="J189" i="30"/>
  <c r="Q188" i="30"/>
  <c r="N188" i="30"/>
  <c r="M188" i="30"/>
  <c r="L188" i="30"/>
  <c r="K188" i="30"/>
  <c r="J188" i="30"/>
  <c r="Q187" i="30"/>
  <c r="N187" i="30"/>
  <c r="M187" i="30"/>
  <c r="L187" i="30"/>
  <c r="K187" i="30"/>
  <c r="J187" i="30"/>
  <c r="Q186" i="30"/>
  <c r="N186" i="30"/>
  <c r="M186" i="30"/>
  <c r="L186" i="30"/>
  <c r="K186" i="30"/>
  <c r="J186" i="30"/>
  <c r="Q185" i="30"/>
  <c r="N185" i="30"/>
  <c r="M185" i="30"/>
  <c r="L185" i="30"/>
  <c r="K185" i="30"/>
  <c r="J185" i="30"/>
  <c r="Q184" i="30"/>
  <c r="N184" i="30"/>
  <c r="M184" i="30"/>
  <c r="L184" i="30"/>
  <c r="K184" i="30"/>
  <c r="J184" i="30"/>
  <c r="Q183" i="30"/>
  <c r="N183" i="30"/>
  <c r="M183" i="30"/>
  <c r="L183" i="30"/>
  <c r="K183" i="30"/>
  <c r="J183" i="30"/>
  <c r="Q182" i="30"/>
  <c r="N182" i="30"/>
  <c r="M182" i="30"/>
  <c r="L182" i="30"/>
  <c r="K182" i="30"/>
  <c r="J182" i="30"/>
  <c r="Q181" i="30"/>
  <c r="N181" i="30"/>
  <c r="M181" i="30"/>
  <c r="L181" i="30"/>
  <c r="K181" i="30"/>
  <c r="J181" i="30"/>
  <c r="Q180" i="30"/>
  <c r="N180" i="30"/>
  <c r="M180" i="30"/>
  <c r="L180" i="30"/>
  <c r="K180" i="30"/>
  <c r="J180" i="30"/>
  <c r="Q179" i="30"/>
  <c r="N179" i="30"/>
  <c r="M179" i="30"/>
  <c r="L179" i="30"/>
  <c r="K179" i="30"/>
  <c r="J179" i="30"/>
  <c r="Q178" i="30"/>
  <c r="N178" i="30"/>
  <c r="M178" i="30"/>
  <c r="L178" i="30"/>
  <c r="K178" i="30"/>
  <c r="J178" i="30"/>
  <c r="Q177" i="30"/>
  <c r="N177" i="30"/>
  <c r="M177" i="30"/>
  <c r="L177" i="30"/>
  <c r="K177" i="30"/>
  <c r="J177" i="30"/>
  <c r="Q176" i="30"/>
  <c r="N176" i="30"/>
  <c r="M176" i="30"/>
  <c r="L176" i="30"/>
  <c r="K176" i="30"/>
  <c r="J176" i="30"/>
  <c r="Q175" i="30"/>
  <c r="N175" i="30"/>
  <c r="M175" i="30"/>
  <c r="L175" i="30"/>
  <c r="K175" i="30"/>
  <c r="J175" i="30"/>
  <c r="Q174" i="30"/>
  <c r="N174" i="30"/>
  <c r="M174" i="30"/>
  <c r="L174" i="30"/>
  <c r="K174" i="30"/>
  <c r="J174" i="30"/>
  <c r="Q173" i="30"/>
  <c r="N173" i="30"/>
  <c r="M173" i="30"/>
  <c r="L173" i="30"/>
  <c r="K173" i="30"/>
  <c r="J173" i="30"/>
  <c r="Q172" i="30"/>
  <c r="N172" i="30"/>
  <c r="M172" i="30"/>
  <c r="L172" i="30"/>
  <c r="K172" i="30"/>
  <c r="J172" i="30"/>
  <c r="Q171" i="30"/>
  <c r="N171" i="30"/>
  <c r="M171" i="30"/>
  <c r="L171" i="30"/>
  <c r="K171" i="30"/>
  <c r="J171" i="30"/>
  <c r="Q170" i="30"/>
  <c r="N170" i="30"/>
  <c r="M170" i="30"/>
  <c r="L170" i="30"/>
  <c r="K170" i="30"/>
  <c r="J170" i="30"/>
  <c r="J12" i="30"/>
  <c r="K12" i="30"/>
  <c r="Q12" i="30"/>
  <c r="L39" i="29"/>
  <c r="L38" i="29"/>
  <c r="L37" i="29"/>
  <c r="L36" i="29"/>
  <c r="L35" i="29"/>
  <c r="L91" i="30"/>
  <c r="L92" i="30"/>
  <c r="L93" i="30"/>
  <c r="L94" i="30"/>
  <c r="L95" i="30"/>
  <c r="L96" i="30"/>
  <c r="L97" i="30"/>
  <c r="L98" i="30"/>
  <c r="L99" i="30"/>
  <c r="L100" i="30"/>
  <c r="L101" i="30"/>
  <c r="L102" i="30"/>
  <c r="L103" i="30"/>
  <c r="L104" i="30"/>
  <c r="L105" i="30"/>
  <c r="L106" i="30"/>
  <c r="L107" i="30"/>
  <c r="L108" i="30"/>
  <c r="L109" i="30"/>
  <c r="L110" i="30"/>
  <c r="L111" i="30"/>
  <c r="L112" i="30"/>
  <c r="L113" i="30"/>
  <c r="L114" i="30"/>
  <c r="L115" i="30"/>
  <c r="L116" i="30"/>
  <c r="L117" i="30"/>
  <c r="L118" i="30"/>
  <c r="L119" i="30"/>
  <c r="L120" i="30"/>
  <c r="L121" i="30"/>
  <c r="L122" i="30"/>
  <c r="L123" i="30"/>
  <c r="L124" i="30"/>
  <c r="L125" i="30"/>
  <c r="L126" i="30"/>
  <c r="L127" i="30"/>
  <c r="L128" i="30"/>
  <c r="L129" i="30"/>
  <c r="L130" i="30"/>
  <c r="L131" i="30"/>
  <c r="L132" i="30"/>
  <c r="L133" i="30"/>
  <c r="L134" i="30"/>
  <c r="L135" i="30"/>
  <c r="L136" i="30"/>
  <c r="L137" i="30"/>
  <c r="L138" i="30"/>
  <c r="L139" i="30"/>
  <c r="L140" i="30"/>
  <c r="L141" i="30"/>
  <c r="L142" i="30"/>
  <c r="L143" i="30"/>
  <c r="L144" i="30"/>
  <c r="L145" i="30"/>
  <c r="L146" i="30"/>
  <c r="L147" i="30"/>
  <c r="L148" i="30"/>
  <c r="L149" i="30"/>
  <c r="L150" i="30"/>
  <c r="L151" i="30"/>
  <c r="L152" i="30"/>
  <c r="L153" i="30"/>
  <c r="L154" i="30"/>
  <c r="L155" i="30"/>
  <c r="L156" i="30"/>
  <c r="L157" i="30"/>
  <c r="L158" i="30"/>
  <c r="L159" i="30"/>
  <c r="L160" i="30"/>
  <c r="L161" i="30"/>
  <c r="L162" i="30"/>
  <c r="L163" i="30"/>
  <c r="L164" i="30"/>
  <c r="L165" i="30"/>
  <c r="L166" i="30"/>
  <c r="L167" i="30"/>
  <c r="L168" i="30"/>
  <c r="L169" i="30"/>
  <c r="H21" i="39"/>
  <c r="H20" i="39"/>
  <c r="H18" i="39"/>
  <c r="H17" i="39"/>
  <c r="H16" i="39"/>
  <c r="H15" i="39"/>
  <c r="H14" i="39"/>
  <c r="H13" i="39"/>
  <c r="H12" i="39"/>
  <c r="H11" i="39"/>
  <c r="H10" i="39"/>
  <c r="H9" i="39"/>
  <c r="H8" i="39"/>
  <c r="H7" i="39"/>
  <c r="H6" i="39"/>
  <c r="H4" i="39"/>
  <c r="H3" i="39"/>
  <c r="C5" i="35"/>
  <c r="D5" i="35"/>
  <c r="E5" i="35"/>
  <c r="F5" i="35"/>
  <c r="G5" i="35"/>
  <c r="H5" i="35"/>
  <c r="I5" i="35"/>
  <c r="J5" i="35"/>
  <c r="K5" i="35"/>
  <c r="L5" i="35"/>
  <c r="M5" i="35"/>
  <c r="N5" i="35"/>
  <c r="O5" i="35"/>
  <c r="P5" i="35"/>
  <c r="K4" i="30"/>
  <c r="G3" i="39"/>
  <c r="S3" i="39" s="1"/>
  <c r="G167" i="9"/>
  <c r="H167" i="9"/>
  <c r="I167" i="9"/>
  <c r="J167" i="9"/>
  <c r="K167" i="9"/>
  <c r="L167" i="9"/>
  <c r="M167" i="9"/>
  <c r="N167" i="9"/>
  <c r="O167" i="9"/>
  <c r="P167" i="9"/>
  <c r="Q167" i="9"/>
  <c r="R167" i="9"/>
  <c r="S167" i="9"/>
  <c r="T167" i="9"/>
  <c r="U167" i="9"/>
  <c r="V167" i="9"/>
  <c r="W167" i="9"/>
  <c r="X167" i="9"/>
  <c r="Y167" i="9"/>
  <c r="Z167" i="9"/>
  <c r="G168" i="9"/>
  <c r="H168" i="9"/>
  <c r="I168" i="9"/>
  <c r="J168" i="9"/>
  <c r="K168" i="9"/>
  <c r="L168" i="9"/>
  <c r="M168" i="9"/>
  <c r="N168" i="9"/>
  <c r="O168" i="9"/>
  <c r="P168" i="9"/>
  <c r="Q168" i="9"/>
  <c r="R168" i="9"/>
  <c r="S168" i="9"/>
  <c r="T168" i="9"/>
  <c r="U168" i="9"/>
  <c r="V168" i="9"/>
  <c r="W168" i="9"/>
  <c r="X168" i="9"/>
  <c r="Y168" i="9"/>
  <c r="Z168" i="9"/>
  <c r="G169" i="9"/>
  <c r="H169" i="9"/>
  <c r="I169" i="9"/>
  <c r="J169" i="9"/>
  <c r="K169" i="9"/>
  <c r="L169" i="9"/>
  <c r="M169" i="9"/>
  <c r="N169" i="9"/>
  <c r="O169" i="9"/>
  <c r="P169" i="9"/>
  <c r="Q169" i="9"/>
  <c r="R169" i="9"/>
  <c r="S169" i="9"/>
  <c r="T169" i="9"/>
  <c r="U169" i="9"/>
  <c r="V169" i="9"/>
  <c r="W169" i="9"/>
  <c r="X169" i="9"/>
  <c r="Y169" i="9"/>
  <c r="Z169" i="9"/>
  <c r="G170" i="9"/>
  <c r="H170" i="9"/>
  <c r="I170" i="9"/>
  <c r="J170" i="9"/>
  <c r="K170" i="9"/>
  <c r="L170" i="9"/>
  <c r="M170" i="9"/>
  <c r="N170" i="9"/>
  <c r="O170" i="9"/>
  <c r="P170" i="9"/>
  <c r="Q170" i="9"/>
  <c r="R170" i="9"/>
  <c r="S170" i="9"/>
  <c r="T170" i="9"/>
  <c r="U170" i="9"/>
  <c r="V170" i="9"/>
  <c r="W170" i="9"/>
  <c r="X170" i="9"/>
  <c r="Y170" i="9"/>
  <c r="Z170" i="9"/>
  <c r="G157" i="9"/>
  <c r="H157" i="9"/>
  <c r="I157" i="9"/>
  <c r="J157" i="9"/>
  <c r="K157" i="9"/>
  <c r="L157" i="9"/>
  <c r="M157" i="9"/>
  <c r="N157" i="9"/>
  <c r="O157" i="9"/>
  <c r="P157" i="9"/>
  <c r="Q157" i="9"/>
  <c r="R157" i="9"/>
  <c r="S157" i="9"/>
  <c r="T157" i="9"/>
  <c r="U157" i="9"/>
  <c r="V157" i="9"/>
  <c r="W157" i="9"/>
  <c r="X157" i="9"/>
  <c r="Y157" i="9"/>
  <c r="Z157" i="9"/>
  <c r="G158" i="9"/>
  <c r="H158" i="9"/>
  <c r="I158" i="9"/>
  <c r="J158" i="9"/>
  <c r="K158" i="9"/>
  <c r="L158" i="9"/>
  <c r="M158" i="9"/>
  <c r="N158" i="9"/>
  <c r="O158" i="9"/>
  <c r="P158" i="9"/>
  <c r="Q158" i="9"/>
  <c r="R158" i="9"/>
  <c r="S158" i="9"/>
  <c r="T158" i="9"/>
  <c r="U158" i="9"/>
  <c r="V158" i="9"/>
  <c r="W158" i="9"/>
  <c r="X158" i="9"/>
  <c r="Y158" i="9"/>
  <c r="Z158" i="9"/>
  <c r="G159" i="9"/>
  <c r="H159" i="9"/>
  <c r="I159" i="9"/>
  <c r="J159" i="9"/>
  <c r="K159" i="9"/>
  <c r="L159" i="9"/>
  <c r="M159" i="9"/>
  <c r="N159" i="9"/>
  <c r="O159" i="9"/>
  <c r="P159" i="9"/>
  <c r="Q159" i="9"/>
  <c r="R159" i="9"/>
  <c r="S159" i="9"/>
  <c r="T159" i="9"/>
  <c r="U159" i="9"/>
  <c r="V159" i="9"/>
  <c r="W159" i="9"/>
  <c r="X159" i="9"/>
  <c r="Y159" i="9"/>
  <c r="Z159" i="9"/>
  <c r="G160" i="9"/>
  <c r="H160" i="9"/>
  <c r="I160" i="9"/>
  <c r="J160" i="9"/>
  <c r="K160" i="9"/>
  <c r="L160" i="9"/>
  <c r="M160" i="9"/>
  <c r="N160" i="9"/>
  <c r="O160" i="9"/>
  <c r="P160" i="9"/>
  <c r="Q160" i="9"/>
  <c r="R160" i="9"/>
  <c r="S160" i="9"/>
  <c r="T160" i="9"/>
  <c r="U160" i="9"/>
  <c r="V160" i="9"/>
  <c r="W160" i="9"/>
  <c r="X160" i="9"/>
  <c r="Y160" i="9"/>
  <c r="Z160" i="9"/>
  <c r="BA14" i="20"/>
  <c r="AZ14" i="20"/>
  <c r="AY14" i="20"/>
  <c r="AX14" i="20"/>
  <c r="AW14" i="20"/>
  <c r="AV14" i="20"/>
  <c r="AU14" i="20"/>
  <c r="AT14" i="20"/>
  <c r="AS14" i="20"/>
  <c r="AR14" i="20"/>
  <c r="AQ14" i="20"/>
  <c r="AP14" i="20"/>
  <c r="AO14" i="20"/>
  <c r="AN14" i="20"/>
  <c r="AM14" i="20"/>
  <c r="AL14" i="20"/>
  <c r="AK14" i="20"/>
  <c r="AJ14" i="20"/>
  <c r="AI14" i="20"/>
  <c r="AH14" i="20"/>
  <c r="AG14" i="20"/>
  <c r="H2" i="10"/>
  <c r="H5" i="10" s="1"/>
  <c r="G2" i="10"/>
  <c r="G7" i="10" s="1"/>
  <c r="I8" i="27"/>
  <c r="I7" i="27"/>
  <c r="G9" i="10"/>
  <c r="G10" i="10"/>
  <c r="G11" i="10"/>
  <c r="G18" i="10"/>
  <c r="G21" i="10"/>
  <c r="H2" i="9"/>
  <c r="G2" i="9"/>
  <c r="W11" i="10"/>
  <c r="W14" i="10"/>
  <c r="S9" i="10"/>
  <c r="O7" i="10"/>
  <c r="O11" i="10"/>
  <c r="O12" i="10"/>
  <c r="Z14" i="9"/>
  <c r="Q10" i="9"/>
  <c r="O8" i="9"/>
  <c r="O10" i="9"/>
  <c r="O12" i="9"/>
  <c r="O14" i="9"/>
  <c r="K12" i="9"/>
  <c r="K15" i="9"/>
  <c r="F2" i="10"/>
  <c r="F11" i="10" s="1"/>
  <c r="F10" i="10"/>
  <c r="F2" i="9"/>
  <c r="BR66" i="3"/>
  <c r="K67" i="3" s="1"/>
  <c r="BR45" i="3"/>
  <c r="BR35" i="3"/>
  <c r="BR126" i="3"/>
  <c r="K127" i="3" s="1"/>
  <c r="G41" i="37"/>
  <c r="H41" i="37"/>
  <c r="G42" i="37"/>
  <c r="H42" i="37"/>
  <c r="G43" i="37"/>
  <c r="H43" i="37"/>
  <c r="G44" i="37"/>
  <c r="H44" i="37"/>
  <c r="G45" i="37"/>
  <c r="H45" i="37"/>
  <c r="G46" i="37"/>
  <c r="H46" i="37"/>
  <c r="G47" i="37"/>
  <c r="H47" i="37"/>
  <c r="G48" i="37"/>
  <c r="H48" i="37"/>
  <c r="G49" i="37"/>
  <c r="H49" i="37"/>
  <c r="G50" i="37"/>
  <c r="H50" i="37"/>
  <c r="G51" i="37"/>
  <c r="H51" i="37"/>
  <c r="G52" i="37"/>
  <c r="H52" i="37"/>
  <c r="G53" i="37"/>
  <c r="H53" i="37"/>
  <c r="G54" i="37"/>
  <c r="H54" i="37"/>
  <c r="G55" i="37"/>
  <c r="H55" i="37"/>
  <c r="G56" i="37"/>
  <c r="H56" i="37"/>
  <c r="G57" i="37"/>
  <c r="H57" i="37"/>
  <c r="G58" i="37"/>
  <c r="H58" i="37"/>
  <c r="G59" i="37"/>
  <c r="H59" i="37"/>
  <c r="G60" i="37"/>
  <c r="H60" i="37"/>
  <c r="G61" i="37"/>
  <c r="H61" i="37"/>
  <c r="G62" i="37"/>
  <c r="H62" i="37"/>
  <c r="L42" i="29"/>
  <c r="K42" i="29"/>
  <c r="K43" i="29"/>
  <c r="L43" i="29"/>
  <c r="L41" i="29"/>
  <c r="L44" i="29"/>
  <c r="L45" i="29"/>
  <c r="L46" i="29"/>
  <c r="L47" i="29"/>
  <c r="L48" i="29"/>
  <c r="L49" i="29"/>
  <c r="L50" i="29"/>
  <c r="L51" i="29"/>
  <c r="L52" i="29"/>
  <c r="L53" i="29"/>
  <c r="L54" i="29"/>
  <c r="L55" i="29"/>
  <c r="L56" i="29"/>
  <c r="L57" i="29"/>
  <c r="L58" i="29"/>
  <c r="L59" i="29"/>
  <c r="L60" i="29"/>
  <c r="L61" i="29"/>
  <c r="L62" i="29"/>
  <c r="L63" i="29"/>
  <c r="L64" i="29"/>
  <c r="M64" i="29" s="1"/>
  <c r="X5" i="6"/>
  <c r="X4" i="6"/>
  <c r="Q20" i="37"/>
  <c r="R20" i="37" s="1"/>
  <c r="S12" i="37"/>
  <c r="G5" i="33"/>
  <c r="G6" i="33"/>
  <c r="G7" i="33"/>
  <c r="G8" i="33"/>
  <c r="G9" i="33"/>
  <c r="G10" i="33"/>
  <c r="G11" i="33"/>
  <c r="G12" i="33"/>
  <c r="G13" i="33"/>
  <c r="G14" i="33"/>
  <c r="G15" i="33"/>
  <c r="G16" i="33"/>
  <c r="G17" i="33"/>
  <c r="K3" i="30"/>
  <c r="K5" i="30"/>
  <c r="K6" i="30"/>
  <c r="K7" i="30"/>
  <c r="K8" i="30"/>
  <c r="K9" i="30"/>
  <c r="K10" i="30"/>
  <c r="K11" i="30"/>
  <c r="H15" i="26"/>
  <c r="H16" i="26"/>
  <c r="H17" i="26"/>
  <c r="H18" i="26"/>
  <c r="H19" i="26"/>
  <c r="H20" i="26"/>
  <c r="H21" i="26"/>
  <c r="H22" i="26"/>
  <c r="G9" i="37"/>
  <c r="H9" i="37"/>
  <c r="G10" i="37"/>
  <c r="H10" i="37"/>
  <c r="G11" i="37"/>
  <c r="H11" i="37"/>
  <c r="G12" i="37"/>
  <c r="H12" i="37"/>
  <c r="G13" i="37"/>
  <c r="H13" i="37"/>
  <c r="G14" i="37"/>
  <c r="H14" i="37"/>
  <c r="G15" i="37"/>
  <c r="H15" i="37"/>
  <c r="G21" i="37"/>
  <c r="H21" i="37"/>
  <c r="G22" i="37"/>
  <c r="H22" i="37"/>
  <c r="G23" i="37"/>
  <c r="H23" i="37"/>
  <c r="G24" i="37"/>
  <c r="H24" i="37"/>
  <c r="G25" i="37"/>
  <c r="H25" i="37"/>
  <c r="G26" i="37"/>
  <c r="H26" i="37"/>
  <c r="G27" i="37"/>
  <c r="H27" i="37"/>
  <c r="G33" i="37"/>
  <c r="H33" i="37"/>
  <c r="G34" i="37"/>
  <c r="H34" i="37"/>
  <c r="G35" i="37"/>
  <c r="H35" i="37"/>
  <c r="G36" i="37"/>
  <c r="H36" i="37"/>
  <c r="G37" i="37"/>
  <c r="H37" i="37"/>
  <c r="G38" i="37"/>
  <c r="H38" i="37"/>
  <c r="G39" i="37"/>
  <c r="H39" i="37"/>
  <c r="K41" i="29"/>
  <c r="S27" i="37"/>
  <c r="S21" i="37"/>
  <c r="S14" i="37"/>
  <c r="S13" i="37"/>
  <c r="S7" i="37"/>
  <c r="T10" i="37"/>
  <c r="T15" i="37"/>
  <c r="T17" i="37"/>
  <c r="T18" i="37"/>
  <c r="T22" i="37"/>
  <c r="T23" i="37"/>
  <c r="T24" i="37"/>
  <c r="T25" i="37"/>
  <c r="T26" i="37"/>
  <c r="S10" i="37"/>
  <c r="S11" i="37"/>
  <c r="S15" i="37"/>
  <c r="S17" i="37"/>
  <c r="S18" i="37"/>
  <c r="S19" i="37"/>
  <c r="S22" i="37"/>
  <c r="S23" i="37"/>
  <c r="S24" i="37"/>
  <c r="S25" i="37"/>
  <c r="S26" i="37"/>
  <c r="S4" i="37"/>
  <c r="U27" i="37"/>
  <c r="Q27" i="37"/>
  <c r="R27" i="37" s="1"/>
  <c r="U26" i="37"/>
  <c r="Q26" i="37"/>
  <c r="R26" i="37" s="1"/>
  <c r="U5" i="37"/>
  <c r="U6" i="37"/>
  <c r="U7" i="37"/>
  <c r="U8" i="37"/>
  <c r="U9" i="37"/>
  <c r="U10" i="37"/>
  <c r="U11" i="37"/>
  <c r="U12" i="37"/>
  <c r="U13" i="37"/>
  <c r="U14" i="37"/>
  <c r="U15" i="37"/>
  <c r="U16" i="37"/>
  <c r="U17" i="37"/>
  <c r="U18" i="37"/>
  <c r="U19" i="37"/>
  <c r="U20" i="37"/>
  <c r="U21" i="37"/>
  <c r="U22" i="37"/>
  <c r="U23" i="37"/>
  <c r="U24" i="37"/>
  <c r="U25" i="37"/>
  <c r="U4" i="37"/>
  <c r="H23" i="26"/>
  <c r="H24" i="26"/>
  <c r="H25" i="26"/>
  <c r="H26" i="26"/>
  <c r="H27" i="26"/>
  <c r="H28" i="26"/>
  <c r="H29" i="26"/>
  <c r="H30" i="26"/>
  <c r="H31" i="26"/>
  <c r="H32" i="26"/>
  <c r="H33" i="26"/>
  <c r="H34" i="26"/>
  <c r="H35" i="26"/>
  <c r="H36" i="26"/>
  <c r="H37" i="26"/>
  <c r="H38" i="26"/>
  <c r="H39" i="26"/>
  <c r="H40" i="26"/>
  <c r="H41" i="26"/>
  <c r="H42" i="26"/>
  <c r="H43" i="26"/>
  <c r="H44" i="26"/>
  <c r="H45" i="26"/>
  <c r="H46" i="26"/>
  <c r="H47" i="26"/>
  <c r="H48" i="26"/>
  <c r="H49" i="26"/>
  <c r="H50" i="26"/>
  <c r="H51" i="26"/>
  <c r="H52" i="26"/>
  <c r="H53" i="26"/>
  <c r="H54" i="26"/>
  <c r="H55" i="26"/>
  <c r="H56" i="26"/>
  <c r="H57" i="26"/>
  <c r="H58" i="26"/>
  <c r="H59" i="26"/>
  <c r="H60" i="26"/>
  <c r="H61" i="26"/>
  <c r="H62" i="26"/>
  <c r="H63" i="26"/>
  <c r="H64" i="26"/>
  <c r="H65" i="26"/>
  <c r="Q5" i="37"/>
  <c r="R5" i="37" s="1"/>
  <c r="Q6" i="37"/>
  <c r="R6" i="37" s="1"/>
  <c r="Q7" i="37"/>
  <c r="R7" i="37" s="1"/>
  <c r="Q8" i="37"/>
  <c r="R8" i="37" s="1"/>
  <c r="Q9" i="37"/>
  <c r="R9" i="37" s="1"/>
  <c r="Q10" i="37"/>
  <c r="R10" i="37" s="1"/>
  <c r="Q11" i="37"/>
  <c r="R11" i="37" s="1"/>
  <c r="Q12" i="37"/>
  <c r="R12" i="37" s="1"/>
  <c r="Q13" i="37"/>
  <c r="R13" i="37" s="1"/>
  <c r="Q14" i="37"/>
  <c r="R14" i="37" s="1"/>
  <c r="Q15" i="37"/>
  <c r="R15" i="37" s="1"/>
  <c r="Q16" i="37"/>
  <c r="R16" i="37" s="1"/>
  <c r="Q17" i="37"/>
  <c r="R17" i="37" s="1"/>
  <c r="Q18" i="37"/>
  <c r="R18" i="37" s="1"/>
  <c r="Q19" i="37"/>
  <c r="R19" i="37" s="1"/>
  <c r="Q21" i="37"/>
  <c r="R21" i="37" s="1"/>
  <c r="Q22" i="37"/>
  <c r="R22" i="37" s="1"/>
  <c r="Q23" i="37"/>
  <c r="R23" i="37" s="1"/>
  <c r="Q24" i="37"/>
  <c r="R24" i="37" s="1"/>
  <c r="Q25" i="37"/>
  <c r="R25" i="37" s="1"/>
  <c r="Q4" i="37"/>
  <c r="R4" i="37" s="1"/>
  <c r="U12" i="29"/>
  <c r="V12" i="29" s="1"/>
  <c r="U13" i="29"/>
  <c r="U14" i="29"/>
  <c r="U17" i="29"/>
  <c r="U18" i="29"/>
  <c r="U21" i="29"/>
  <c r="U22" i="29"/>
  <c r="U23" i="29"/>
  <c r="U24" i="29"/>
  <c r="U25" i="29"/>
  <c r="U26" i="29"/>
  <c r="U27" i="29"/>
  <c r="I64" i="29"/>
  <c r="G64" i="29"/>
  <c r="I63" i="29"/>
  <c r="G63" i="29"/>
  <c r="I62" i="29"/>
  <c r="G62" i="29"/>
  <c r="I61" i="29"/>
  <c r="G61" i="29"/>
  <c r="I60" i="29"/>
  <c r="G60" i="29"/>
  <c r="I59" i="29"/>
  <c r="G59" i="29"/>
  <c r="I58" i="29"/>
  <c r="G58" i="29"/>
  <c r="I57" i="29"/>
  <c r="G57" i="29"/>
  <c r="I56" i="29"/>
  <c r="G56" i="29"/>
  <c r="I55" i="29"/>
  <c r="G55" i="29"/>
  <c r="I54" i="29"/>
  <c r="G54" i="29"/>
  <c r="I53" i="29"/>
  <c r="G53" i="29"/>
  <c r="I52" i="29"/>
  <c r="G52" i="29"/>
  <c r="I51" i="29"/>
  <c r="G51" i="29"/>
  <c r="I50" i="29"/>
  <c r="G50" i="29"/>
  <c r="I49" i="29"/>
  <c r="G49" i="29"/>
  <c r="I48" i="29"/>
  <c r="G48" i="29"/>
  <c r="I47" i="29"/>
  <c r="G47" i="29"/>
  <c r="I46" i="29"/>
  <c r="G46" i="29"/>
  <c r="I45" i="29"/>
  <c r="G45" i="29"/>
  <c r="I44" i="29"/>
  <c r="G44" i="29"/>
  <c r="I43" i="29"/>
  <c r="G43" i="29"/>
  <c r="I32" i="29"/>
  <c r="I33" i="29"/>
  <c r="I34" i="29"/>
  <c r="I35" i="29"/>
  <c r="I36" i="29"/>
  <c r="I37" i="29"/>
  <c r="I38" i="29"/>
  <c r="I39" i="29"/>
  <c r="G32" i="29"/>
  <c r="G33" i="29"/>
  <c r="G34" i="29"/>
  <c r="G35" i="29"/>
  <c r="G36" i="29"/>
  <c r="G37" i="29"/>
  <c r="G38" i="29"/>
  <c r="G39" i="29"/>
  <c r="P22" i="39"/>
  <c r="R22" i="39"/>
  <c r="K64" i="29"/>
  <c r="K63" i="29"/>
  <c r="K62" i="29"/>
  <c r="K61" i="29"/>
  <c r="K60" i="29"/>
  <c r="K59" i="29"/>
  <c r="K58" i="29"/>
  <c r="K57" i="29"/>
  <c r="K56" i="29"/>
  <c r="K55" i="29"/>
  <c r="K54" i="29"/>
  <c r="K53" i="29"/>
  <c r="U19" i="29"/>
  <c r="K52" i="29"/>
  <c r="K51" i="29"/>
  <c r="K50" i="29"/>
  <c r="K49" i="29"/>
  <c r="K48" i="29"/>
  <c r="K47" i="29"/>
  <c r="K46" i="29"/>
  <c r="K45" i="29"/>
  <c r="M45" i="29" s="1"/>
  <c r="K44" i="29"/>
  <c r="U9" i="29"/>
  <c r="V9" i="29" s="1"/>
  <c r="U16" i="29"/>
  <c r="D12" i="34"/>
  <c r="D11" i="34"/>
  <c r="D10" i="34"/>
  <c r="D9" i="34"/>
  <c r="D8" i="34"/>
  <c r="D7" i="34"/>
  <c r="D6" i="34"/>
  <c r="D5" i="34"/>
  <c r="D17" i="33"/>
  <c r="D16" i="33"/>
  <c r="D15" i="33"/>
  <c r="D14" i="33"/>
  <c r="D13" i="33"/>
  <c r="D12" i="33"/>
  <c r="D11" i="33"/>
  <c r="D10" i="33"/>
  <c r="D9" i="33"/>
  <c r="D8" i="33"/>
  <c r="D7" i="33"/>
  <c r="D6" i="33"/>
  <c r="D5" i="33"/>
  <c r="D23" i="32"/>
  <c r="D22" i="32"/>
  <c r="D21" i="32"/>
  <c r="D20" i="32"/>
  <c r="D19" i="32"/>
  <c r="D18" i="32"/>
  <c r="D17" i="32"/>
  <c r="D16" i="32"/>
  <c r="D15" i="32"/>
  <c r="D14" i="32"/>
  <c r="D13" i="32"/>
  <c r="D12" i="32"/>
  <c r="D11" i="32"/>
  <c r="D10" i="32"/>
  <c r="D9" i="32"/>
  <c r="D8" i="32"/>
  <c r="D7" i="32"/>
  <c r="G12" i="34"/>
  <c r="G11" i="34"/>
  <c r="G10" i="34"/>
  <c r="G9" i="34"/>
  <c r="G8" i="34"/>
  <c r="G7" i="34"/>
  <c r="G6" i="34"/>
  <c r="G5" i="34"/>
  <c r="C23" i="32"/>
  <c r="C22" i="32"/>
  <c r="C21" i="32"/>
  <c r="C20" i="32"/>
  <c r="C19" i="32"/>
  <c r="C18" i="32"/>
  <c r="C17" i="32"/>
  <c r="C16" i="32"/>
  <c r="C15" i="32"/>
  <c r="C14" i="32"/>
  <c r="C13" i="32"/>
  <c r="C12" i="32"/>
  <c r="C11" i="32"/>
  <c r="C10" i="32"/>
  <c r="C9" i="32"/>
  <c r="C8" i="32"/>
  <c r="C7" i="32"/>
  <c r="S6" i="37"/>
  <c r="S5" i="37"/>
  <c r="S8" i="37"/>
  <c r="S9" i="37"/>
  <c r="S16" i="37"/>
  <c r="G15" i="26"/>
  <c r="G16" i="26"/>
  <c r="G17" i="26"/>
  <c r="G18" i="26"/>
  <c r="G19" i="26"/>
  <c r="G20" i="26"/>
  <c r="G21" i="26"/>
  <c r="G22" i="26"/>
  <c r="G23" i="26"/>
  <c r="G24" i="26"/>
  <c r="G25" i="26"/>
  <c r="G26" i="26"/>
  <c r="G27" i="26"/>
  <c r="G28" i="26"/>
  <c r="G29" i="26"/>
  <c r="G30" i="26"/>
  <c r="G31" i="26"/>
  <c r="G32" i="26"/>
  <c r="G33" i="26"/>
  <c r="G34" i="26"/>
  <c r="G35" i="26"/>
  <c r="G36" i="26"/>
  <c r="G37" i="26"/>
  <c r="G38" i="26"/>
  <c r="G39" i="26"/>
  <c r="G40" i="26"/>
  <c r="G41" i="26"/>
  <c r="G42" i="26"/>
  <c r="G43" i="26"/>
  <c r="G44" i="26"/>
  <c r="G45" i="26"/>
  <c r="G46" i="26"/>
  <c r="G47" i="26"/>
  <c r="G48" i="26"/>
  <c r="G49" i="26"/>
  <c r="G50" i="26"/>
  <c r="G51" i="26"/>
  <c r="G52" i="26"/>
  <c r="G53" i="26"/>
  <c r="G54" i="26"/>
  <c r="G55" i="26"/>
  <c r="G56" i="26"/>
  <c r="G57" i="26"/>
  <c r="G58" i="26"/>
  <c r="G59" i="26"/>
  <c r="G60" i="26"/>
  <c r="G61" i="26"/>
  <c r="G62" i="26"/>
  <c r="G63" i="26"/>
  <c r="G64" i="26"/>
  <c r="G65" i="26"/>
  <c r="I105" i="27"/>
  <c r="I104" i="27"/>
  <c r="I103" i="27"/>
  <c r="I102" i="27"/>
  <c r="I101" i="27"/>
  <c r="I100" i="27"/>
  <c r="I99" i="27"/>
  <c r="I98" i="27"/>
  <c r="I97" i="27"/>
  <c r="I96" i="27"/>
  <c r="I95" i="27"/>
  <c r="I94" i="27"/>
  <c r="I93" i="27"/>
  <c r="I92" i="27"/>
  <c r="I91" i="27"/>
  <c r="I90" i="27"/>
  <c r="I89" i="27"/>
  <c r="I88" i="27"/>
  <c r="I87" i="27"/>
  <c r="I86" i="27"/>
  <c r="I85" i="27"/>
  <c r="I84" i="27"/>
  <c r="I83" i="27"/>
  <c r="I82" i="27"/>
  <c r="I81" i="27"/>
  <c r="I80" i="27"/>
  <c r="I79" i="27"/>
  <c r="I78" i="27"/>
  <c r="I77" i="27"/>
  <c r="I76" i="27"/>
  <c r="I75" i="27"/>
  <c r="I74" i="27"/>
  <c r="I73" i="27"/>
  <c r="I72" i="27"/>
  <c r="I71" i="27"/>
  <c r="I70" i="27"/>
  <c r="I69" i="27"/>
  <c r="I68" i="27"/>
  <c r="I67" i="27"/>
  <c r="I66" i="27"/>
  <c r="I65" i="27"/>
  <c r="I64" i="27"/>
  <c r="I63" i="27"/>
  <c r="I62" i="27"/>
  <c r="I61" i="27"/>
  <c r="I60" i="27"/>
  <c r="I59" i="27"/>
  <c r="I58" i="27"/>
  <c r="I57" i="27"/>
  <c r="I56" i="27"/>
  <c r="I55" i="27"/>
  <c r="I54" i="27"/>
  <c r="I53" i="27"/>
  <c r="I52" i="27"/>
  <c r="I51" i="27"/>
  <c r="I50" i="27"/>
  <c r="I49" i="27"/>
  <c r="I48" i="27"/>
  <c r="E44" i="10"/>
  <c r="E43" i="10"/>
  <c r="E42" i="10"/>
  <c r="E41" i="10"/>
  <c r="E40" i="10"/>
  <c r="E39" i="10"/>
  <c r="E38" i="10"/>
  <c r="E37" i="10"/>
  <c r="E36" i="10"/>
  <c r="E35" i="10"/>
  <c r="C3" i="28"/>
  <c r="C4" i="28"/>
  <c r="C5" i="28"/>
  <c r="C6" i="28"/>
  <c r="Z2" i="9"/>
  <c r="Z15" i="9" s="1"/>
  <c r="I2" i="9"/>
  <c r="J2" i="9"/>
  <c r="K2" i="9"/>
  <c r="K11" i="9" s="1"/>
  <c r="L2" i="9"/>
  <c r="L6" i="9" s="1"/>
  <c r="M2" i="9"/>
  <c r="M9" i="9" s="1"/>
  <c r="N2" i="9"/>
  <c r="N8" i="9" s="1"/>
  <c r="O2" i="9"/>
  <c r="O6" i="9" s="1"/>
  <c r="P2" i="9"/>
  <c r="P10" i="9" s="1"/>
  <c r="Q2" i="9"/>
  <c r="R2" i="9"/>
  <c r="S2" i="9"/>
  <c r="T2" i="9"/>
  <c r="AW2" i="3" s="1"/>
  <c r="U2" i="9"/>
  <c r="U10" i="9" s="1"/>
  <c r="V2" i="9"/>
  <c r="BC2" i="3" s="1"/>
  <c r="W2" i="9"/>
  <c r="X2" i="9"/>
  <c r="Y2" i="9"/>
  <c r="E47" i="9"/>
  <c r="E48" i="9"/>
  <c r="E49" i="9"/>
  <c r="E50" i="9"/>
  <c r="E51" i="9"/>
  <c r="E52" i="9"/>
  <c r="E53" i="9"/>
  <c r="E54" i="9"/>
  <c r="E55" i="9"/>
  <c r="E56" i="9"/>
  <c r="E67" i="9"/>
  <c r="E68" i="9"/>
  <c r="E69" i="9"/>
  <c r="E70" i="9"/>
  <c r="E71" i="9"/>
  <c r="E72" i="9"/>
  <c r="E73" i="9"/>
  <c r="E74" i="9"/>
  <c r="E75" i="9"/>
  <c r="E76" i="9"/>
  <c r="E16" i="9"/>
  <c r="E17" i="9"/>
  <c r="E18" i="9"/>
  <c r="E19" i="9"/>
  <c r="E20" i="9"/>
  <c r="E21" i="9"/>
  <c r="E22" i="9"/>
  <c r="E23" i="9"/>
  <c r="E24" i="9"/>
  <c r="E25" i="9"/>
  <c r="E26" i="9"/>
  <c r="E27" i="9"/>
  <c r="E28" i="9"/>
  <c r="E29" i="9"/>
  <c r="E30" i="9"/>
  <c r="E31" i="9"/>
  <c r="E32" i="9"/>
  <c r="E33" i="9"/>
  <c r="E34" i="9"/>
  <c r="E35" i="9"/>
  <c r="G2" i="36"/>
  <c r="E25" i="10"/>
  <c r="E26" i="10"/>
  <c r="E27" i="10"/>
  <c r="E28" i="10"/>
  <c r="E29" i="10"/>
  <c r="E30" i="10"/>
  <c r="E31" i="10"/>
  <c r="E32" i="10"/>
  <c r="E33" i="10"/>
  <c r="E34" i="10"/>
  <c r="E45" i="10"/>
  <c r="E46" i="10"/>
  <c r="E47" i="10"/>
  <c r="E48" i="10"/>
  <c r="E49" i="10"/>
  <c r="E50" i="10"/>
  <c r="E51" i="10"/>
  <c r="E52" i="10"/>
  <c r="E53" i="10"/>
  <c r="E54" i="10"/>
  <c r="C7" i="28"/>
  <c r="C12" i="28"/>
  <c r="C11" i="28"/>
  <c r="C10" i="28"/>
  <c r="C9" i="28"/>
  <c r="C8" i="28"/>
  <c r="C17" i="28"/>
  <c r="C16" i="28"/>
  <c r="C15" i="28"/>
  <c r="C14" i="28"/>
  <c r="C13" i="28"/>
  <c r="C22" i="28"/>
  <c r="C21" i="28"/>
  <c r="C20" i="28"/>
  <c r="C19" i="28"/>
  <c r="C18" i="28"/>
  <c r="C27" i="28"/>
  <c r="C26" i="28"/>
  <c r="C25" i="28"/>
  <c r="C24" i="28"/>
  <c r="C23" i="28"/>
  <c r="D103" i="28"/>
  <c r="F103" i="28" s="1"/>
  <c r="D98" i="28"/>
  <c r="E98" i="28" s="1"/>
  <c r="D93" i="28"/>
  <c r="E93" i="28" s="1"/>
  <c r="D88" i="28"/>
  <c r="F88" i="28" s="1"/>
  <c r="D83" i="28"/>
  <c r="E83" i="28" s="1"/>
  <c r="D78" i="28"/>
  <c r="F78" i="28" s="1"/>
  <c r="D73" i="28"/>
  <c r="F73" i="28" s="1"/>
  <c r="D68" i="28"/>
  <c r="F68" i="28" s="1"/>
  <c r="D63" i="28"/>
  <c r="F63" i="28" s="1"/>
  <c r="D58" i="28"/>
  <c r="E58" i="28" s="1"/>
  <c r="D53" i="28"/>
  <c r="F53" i="28" s="1"/>
  <c r="D48" i="28"/>
  <c r="F48" i="28" s="1"/>
  <c r="D43" i="28"/>
  <c r="F43" i="28" s="1"/>
  <c r="D38" i="28"/>
  <c r="F38" i="28" s="1"/>
  <c r="D33" i="28"/>
  <c r="E33" i="28" s="1"/>
  <c r="D28" i="28"/>
  <c r="D23" i="28"/>
  <c r="E23" i="28" s="1"/>
  <c r="D18" i="28"/>
  <c r="F18" i="28" s="1"/>
  <c r="D13" i="28"/>
  <c r="F13" i="28" s="1"/>
  <c r="D8" i="28"/>
  <c r="F8" i="28" s="1"/>
  <c r="D3" i="28"/>
  <c r="F3" i="28" s="1"/>
  <c r="H107" i="28"/>
  <c r="H106" i="28"/>
  <c r="J106" i="28" s="1"/>
  <c r="H105" i="28"/>
  <c r="J105" i="28"/>
  <c r="H104" i="28"/>
  <c r="J104" i="28" s="1"/>
  <c r="H102" i="28"/>
  <c r="H101" i="28"/>
  <c r="J101" i="28" s="1"/>
  <c r="H100" i="28"/>
  <c r="J100" i="28"/>
  <c r="H99" i="28"/>
  <c r="J99" i="28"/>
  <c r="H97" i="28"/>
  <c r="H96" i="28"/>
  <c r="J96" i="28" s="1"/>
  <c r="H95" i="28"/>
  <c r="J95" i="28" s="1"/>
  <c r="H94" i="28"/>
  <c r="J94" i="28"/>
  <c r="H92" i="28"/>
  <c r="H91" i="28"/>
  <c r="J91" i="28"/>
  <c r="H90" i="28"/>
  <c r="J90" i="28"/>
  <c r="H89" i="28"/>
  <c r="J89" i="28" s="1"/>
  <c r="H87" i="28"/>
  <c r="H86" i="28"/>
  <c r="J86" i="28" s="1"/>
  <c r="H85" i="28"/>
  <c r="J85" i="28" s="1"/>
  <c r="H84" i="28"/>
  <c r="J84" i="28" s="1"/>
  <c r="H82" i="28"/>
  <c r="H81" i="28"/>
  <c r="J81" i="28"/>
  <c r="H80" i="28"/>
  <c r="J80" i="28"/>
  <c r="H79" i="28"/>
  <c r="J79" i="28" s="1"/>
  <c r="H77" i="28"/>
  <c r="H76" i="28"/>
  <c r="J76" i="28"/>
  <c r="H75" i="28"/>
  <c r="J75" i="28" s="1"/>
  <c r="H74" i="28"/>
  <c r="J74" i="28" s="1"/>
  <c r="H72" i="28"/>
  <c r="H71" i="28"/>
  <c r="J71" i="28"/>
  <c r="H70" i="28"/>
  <c r="J70" i="28" s="1"/>
  <c r="H69" i="28"/>
  <c r="J69" i="28"/>
  <c r="H67" i="28"/>
  <c r="H66" i="28"/>
  <c r="J66" i="28" s="1"/>
  <c r="H65" i="28"/>
  <c r="J65" i="28" s="1"/>
  <c r="H64" i="28"/>
  <c r="J64" i="28"/>
  <c r="H62" i="28"/>
  <c r="H61" i="28"/>
  <c r="J61" i="28" s="1"/>
  <c r="H60" i="28"/>
  <c r="J60" i="28" s="1"/>
  <c r="H59" i="28"/>
  <c r="J59" i="28" s="1"/>
  <c r="H57" i="28"/>
  <c r="H56" i="28"/>
  <c r="J56" i="28" s="1"/>
  <c r="H55" i="28"/>
  <c r="J55" i="28" s="1"/>
  <c r="H54" i="28"/>
  <c r="J54" i="28" s="1"/>
  <c r="H52" i="28"/>
  <c r="H51" i="28"/>
  <c r="J51" i="28" s="1"/>
  <c r="H50" i="28"/>
  <c r="J50" i="28" s="1"/>
  <c r="H49" i="28"/>
  <c r="J49" i="28" s="1"/>
  <c r="H47" i="28"/>
  <c r="H46" i="28"/>
  <c r="J46" i="28" s="1"/>
  <c r="H45" i="28"/>
  <c r="J45" i="28" s="1"/>
  <c r="H44" i="28"/>
  <c r="J44" i="28" s="1"/>
  <c r="H42" i="28"/>
  <c r="H41" i="28"/>
  <c r="J41" i="28" s="1"/>
  <c r="H40" i="28"/>
  <c r="J40" i="28" s="1"/>
  <c r="H39" i="28"/>
  <c r="J39" i="28"/>
  <c r="H37" i="28"/>
  <c r="H36" i="28"/>
  <c r="J36" i="28" s="1"/>
  <c r="H35" i="28"/>
  <c r="J35" i="28" s="1"/>
  <c r="H34" i="28"/>
  <c r="J34" i="28" s="1"/>
  <c r="H32" i="28"/>
  <c r="H31" i="28"/>
  <c r="J31" i="28" s="1"/>
  <c r="H30" i="28"/>
  <c r="J30" i="28"/>
  <c r="H29" i="28"/>
  <c r="J29" i="28" s="1"/>
  <c r="H6" i="28"/>
  <c r="J6" i="28" s="1"/>
  <c r="C107" i="28"/>
  <c r="C106" i="28"/>
  <c r="C105" i="28"/>
  <c r="C104" i="28"/>
  <c r="C103" i="28"/>
  <c r="C102" i="28"/>
  <c r="C101" i="28"/>
  <c r="C100" i="28"/>
  <c r="C99" i="28"/>
  <c r="C98" i="28"/>
  <c r="C97" i="28"/>
  <c r="C96" i="28"/>
  <c r="C95" i="28"/>
  <c r="C94" i="28"/>
  <c r="C93" i="28"/>
  <c r="C92" i="28"/>
  <c r="C91" i="28"/>
  <c r="C90" i="28"/>
  <c r="C89" i="28"/>
  <c r="C88" i="28"/>
  <c r="C87" i="28"/>
  <c r="C86" i="28"/>
  <c r="C85" i="28"/>
  <c r="C84" i="28"/>
  <c r="C83" i="28"/>
  <c r="C82" i="28"/>
  <c r="C81" i="28"/>
  <c r="C80" i="28"/>
  <c r="C79" i="28"/>
  <c r="C78" i="28"/>
  <c r="C77" i="28"/>
  <c r="C76" i="28"/>
  <c r="C75" i="28"/>
  <c r="C74" i="28"/>
  <c r="C73" i="28"/>
  <c r="C72" i="28"/>
  <c r="C71" i="28"/>
  <c r="C70" i="28"/>
  <c r="C69" i="28"/>
  <c r="C68" i="28"/>
  <c r="C67" i="28"/>
  <c r="C66" i="28"/>
  <c r="C65" i="28"/>
  <c r="C64" i="28"/>
  <c r="C63" i="28"/>
  <c r="C62" i="28"/>
  <c r="C61" i="28"/>
  <c r="C60" i="28"/>
  <c r="C59" i="28"/>
  <c r="C58" i="28"/>
  <c r="C57" i="28"/>
  <c r="C56" i="28"/>
  <c r="C55" i="28"/>
  <c r="C54" i="28"/>
  <c r="C53" i="28"/>
  <c r="C52" i="28"/>
  <c r="C51" i="28"/>
  <c r="C50" i="28"/>
  <c r="C49" i="28"/>
  <c r="C48" i="28"/>
  <c r="C47" i="28"/>
  <c r="C46" i="28"/>
  <c r="C45" i="28"/>
  <c r="C44" i="28"/>
  <c r="C43" i="28"/>
  <c r="C42" i="28"/>
  <c r="C41" i="28"/>
  <c r="C40" i="28"/>
  <c r="C39" i="28"/>
  <c r="C38" i="28"/>
  <c r="C37" i="28"/>
  <c r="C36" i="28"/>
  <c r="C35" i="28"/>
  <c r="C34" i="28"/>
  <c r="C33" i="28"/>
  <c r="C32" i="28"/>
  <c r="C31" i="28"/>
  <c r="C30" i="28"/>
  <c r="C29" i="28"/>
  <c r="C28" i="28"/>
  <c r="E172" i="9"/>
  <c r="E173" i="9"/>
  <c r="E11" i="11" s="1"/>
  <c r="E174" i="9"/>
  <c r="E175" i="9"/>
  <c r="E176" i="9"/>
  <c r="E177" i="9"/>
  <c r="E178" i="9"/>
  <c r="E179" i="9"/>
  <c r="E180" i="9"/>
  <c r="E181" i="9"/>
  <c r="M11" i="11" s="1"/>
  <c r="M13" i="6" s="1"/>
  <c r="N13" i="6" s="1"/>
  <c r="E182" i="9"/>
  <c r="E183" i="9"/>
  <c r="E184" i="9"/>
  <c r="E185" i="9"/>
  <c r="E186" i="9"/>
  <c r="E187" i="9"/>
  <c r="I11" i="11" s="1"/>
  <c r="E188" i="9"/>
  <c r="J11" i="11" s="1"/>
  <c r="E189" i="9"/>
  <c r="K11" i="11" s="1"/>
  <c r="E190" i="9"/>
  <c r="L11" i="11" s="1"/>
  <c r="E191" i="9"/>
  <c r="G3" i="36"/>
  <c r="G4" i="36"/>
  <c r="H5" i="39"/>
  <c r="E77" i="10"/>
  <c r="I2" i="10"/>
  <c r="J2" i="10"/>
  <c r="K2" i="10"/>
  <c r="L2" i="10"/>
  <c r="M2" i="10"/>
  <c r="M6" i="10" s="1"/>
  <c r="N2" i="10"/>
  <c r="O2" i="10"/>
  <c r="O8" i="10" s="1"/>
  <c r="P2" i="10"/>
  <c r="Q2" i="10"/>
  <c r="Q8" i="10" s="1"/>
  <c r="R2" i="10"/>
  <c r="S2" i="10"/>
  <c r="T2" i="10"/>
  <c r="U2" i="10"/>
  <c r="U10" i="10" s="1"/>
  <c r="V2" i="10"/>
  <c r="V9" i="10" s="1"/>
  <c r="W2" i="10"/>
  <c r="W5" i="10" s="1"/>
  <c r="X2" i="10"/>
  <c r="X7" i="10" s="1"/>
  <c r="Y2" i="10"/>
  <c r="Z2" i="10"/>
  <c r="Z7" i="10" s="1"/>
  <c r="E78" i="10"/>
  <c r="E79" i="10"/>
  <c r="E80" i="10"/>
  <c r="E81" i="10"/>
  <c r="E82" i="10"/>
  <c r="E83" i="10"/>
  <c r="E84" i="10"/>
  <c r="E85" i="10"/>
  <c r="E96" i="10"/>
  <c r="E97" i="10"/>
  <c r="E98" i="10"/>
  <c r="E99" i="10"/>
  <c r="E100" i="10"/>
  <c r="E101" i="10"/>
  <c r="E102" i="10"/>
  <c r="E103" i="10"/>
  <c r="E104" i="10"/>
  <c r="E105" i="10"/>
  <c r="E66" i="10"/>
  <c r="E67" i="10"/>
  <c r="E68" i="10"/>
  <c r="E69" i="10"/>
  <c r="E70" i="10"/>
  <c r="E71" i="10"/>
  <c r="E72" i="10"/>
  <c r="E73" i="10"/>
  <c r="E74" i="10"/>
  <c r="E75" i="10"/>
  <c r="E76" i="10"/>
  <c r="E110" i="9"/>
  <c r="E111" i="9"/>
  <c r="E112" i="9"/>
  <c r="E113" i="9"/>
  <c r="E114" i="9"/>
  <c r="E115" i="9"/>
  <c r="E116" i="9"/>
  <c r="E117" i="9"/>
  <c r="E118" i="9"/>
  <c r="E119" i="9"/>
  <c r="E140" i="9"/>
  <c r="E141" i="9"/>
  <c r="E142" i="9"/>
  <c r="E143" i="9"/>
  <c r="E144" i="9"/>
  <c r="E145" i="9"/>
  <c r="E146" i="9"/>
  <c r="E147" i="9"/>
  <c r="E148" i="9"/>
  <c r="E149" i="9"/>
  <c r="E130" i="9"/>
  <c r="E131" i="9"/>
  <c r="E132" i="9"/>
  <c r="E133" i="9"/>
  <c r="E134" i="9"/>
  <c r="E135" i="9"/>
  <c r="E136" i="9"/>
  <c r="E137" i="9"/>
  <c r="E138" i="9"/>
  <c r="E139" i="9"/>
  <c r="E86" i="10"/>
  <c r="E87" i="10"/>
  <c r="E88" i="10"/>
  <c r="E89" i="10"/>
  <c r="E90" i="10"/>
  <c r="E91" i="10"/>
  <c r="E92" i="10"/>
  <c r="E93" i="10"/>
  <c r="E94" i="10"/>
  <c r="E95" i="10"/>
  <c r="I7" i="32"/>
  <c r="K49" i="30"/>
  <c r="K50" i="30"/>
  <c r="K51" i="30"/>
  <c r="K52" i="30"/>
  <c r="K13" i="30"/>
  <c r="K14" i="30"/>
  <c r="K15" i="30"/>
  <c r="K16" i="30"/>
  <c r="K17" i="30"/>
  <c r="K18" i="30"/>
  <c r="K19" i="30"/>
  <c r="K20" i="30"/>
  <c r="K21" i="30"/>
  <c r="K22" i="30"/>
  <c r="K23" i="30"/>
  <c r="K24" i="30"/>
  <c r="K25" i="30"/>
  <c r="K26" i="30"/>
  <c r="K27" i="30"/>
  <c r="K28" i="30"/>
  <c r="K29" i="30"/>
  <c r="K30" i="30"/>
  <c r="K31" i="30"/>
  <c r="K32" i="30"/>
  <c r="K33" i="30"/>
  <c r="K34" i="30"/>
  <c r="K35" i="30"/>
  <c r="K36" i="30"/>
  <c r="K37" i="30"/>
  <c r="K38" i="30"/>
  <c r="K39" i="30"/>
  <c r="K40" i="30"/>
  <c r="K41" i="30"/>
  <c r="K42" i="30"/>
  <c r="K43" i="30"/>
  <c r="K44" i="30"/>
  <c r="K45" i="30"/>
  <c r="K46" i="30"/>
  <c r="K47" i="30"/>
  <c r="K48" i="30"/>
  <c r="K53" i="30"/>
  <c r="K54" i="30"/>
  <c r="K55" i="30"/>
  <c r="K56" i="30"/>
  <c r="K57" i="30"/>
  <c r="K58" i="30"/>
  <c r="K59" i="30"/>
  <c r="K60" i="30"/>
  <c r="K61" i="30"/>
  <c r="K62" i="30"/>
  <c r="K63" i="30"/>
  <c r="K64" i="30"/>
  <c r="K65" i="30"/>
  <c r="K66" i="30"/>
  <c r="K67" i="30"/>
  <c r="K68" i="30"/>
  <c r="K69" i="30"/>
  <c r="K70" i="30"/>
  <c r="K71" i="30"/>
  <c r="K72" i="30"/>
  <c r="K73" i="30"/>
  <c r="K74" i="30"/>
  <c r="K75" i="30"/>
  <c r="K76" i="30"/>
  <c r="K77" i="30"/>
  <c r="K78" i="30"/>
  <c r="K79" i="30"/>
  <c r="K80" i="30"/>
  <c r="K81" i="30"/>
  <c r="K82" i="30"/>
  <c r="K83" i="30"/>
  <c r="K84" i="30"/>
  <c r="K85" i="30"/>
  <c r="K86" i="30"/>
  <c r="K87" i="30"/>
  <c r="K88" i="30"/>
  <c r="K89" i="30"/>
  <c r="K90" i="30"/>
  <c r="M91" i="30"/>
  <c r="N91" i="30"/>
  <c r="K91" i="30"/>
  <c r="M92" i="30"/>
  <c r="N92" i="30"/>
  <c r="K92" i="30"/>
  <c r="M93" i="30"/>
  <c r="N93" i="30"/>
  <c r="K93" i="30"/>
  <c r="M94" i="30"/>
  <c r="N94" i="30"/>
  <c r="K94" i="30"/>
  <c r="M95" i="30"/>
  <c r="N95" i="30"/>
  <c r="K95" i="30"/>
  <c r="M96" i="30"/>
  <c r="N96" i="30"/>
  <c r="K96" i="30"/>
  <c r="M97" i="30"/>
  <c r="N97" i="30"/>
  <c r="K97" i="30"/>
  <c r="M98" i="30"/>
  <c r="N98" i="30"/>
  <c r="K98" i="30"/>
  <c r="M99" i="30"/>
  <c r="N99" i="30"/>
  <c r="K99" i="30"/>
  <c r="M100" i="30"/>
  <c r="N100" i="30"/>
  <c r="K100" i="30"/>
  <c r="M101" i="30"/>
  <c r="N101" i="30"/>
  <c r="K101" i="30"/>
  <c r="M102" i="30"/>
  <c r="N102" i="30"/>
  <c r="K102" i="30"/>
  <c r="M103" i="30"/>
  <c r="N103" i="30"/>
  <c r="K103" i="30"/>
  <c r="M104" i="30"/>
  <c r="N104" i="30"/>
  <c r="K104" i="30"/>
  <c r="M105" i="30"/>
  <c r="N105" i="30"/>
  <c r="K105" i="30"/>
  <c r="M106" i="30"/>
  <c r="N106" i="30"/>
  <c r="K106" i="30"/>
  <c r="M107" i="30"/>
  <c r="N107" i="30"/>
  <c r="K107" i="30"/>
  <c r="M108" i="30"/>
  <c r="N108" i="30"/>
  <c r="K108" i="30"/>
  <c r="M109" i="30"/>
  <c r="N109" i="30"/>
  <c r="K109" i="30"/>
  <c r="M110" i="30"/>
  <c r="N110" i="30"/>
  <c r="K110" i="30"/>
  <c r="M111" i="30"/>
  <c r="N111" i="30"/>
  <c r="K111" i="30"/>
  <c r="M112" i="30"/>
  <c r="N112" i="30"/>
  <c r="K112" i="30"/>
  <c r="M113" i="30"/>
  <c r="N113" i="30"/>
  <c r="K113" i="30"/>
  <c r="M114" i="30"/>
  <c r="N114" i="30"/>
  <c r="K114" i="30"/>
  <c r="M115" i="30"/>
  <c r="N115" i="30"/>
  <c r="K115" i="30"/>
  <c r="M116" i="30"/>
  <c r="N116" i="30"/>
  <c r="K116" i="30"/>
  <c r="M117" i="30"/>
  <c r="N117" i="30"/>
  <c r="K117" i="30"/>
  <c r="M118" i="30"/>
  <c r="N118" i="30"/>
  <c r="K118" i="30"/>
  <c r="M119" i="30"/>
  <c r="N119" i="30"/>
  <c r="K119" i="30"/>
  <c r="M120" i="30"/>
  <c r="N120" i="30"/>
  <c r="K120" i="30"/>
  <c r="M121" i="30"/>
  <c r="N121" i="30"/>
  <c r="K121" i="30"/>
  <c r="M122" i="30"/>
  <c r="N122" i="30"/>
  <c r="K122" i="30"/>
  <c r="M123" i="30"/>
  <c r="N123" i="30"/>
  <c r="K123" i="30"/>
  <c r="M124" i="30"/>
  <c r="N124" i="30"/>
  <c r="K124" i="30"/>
  <c r="M125" i="30"/>
  <c r="N125" i="30"/>
  <c r="K125" i="30"/>
  <c r="M126" i="30"/>
  <c r="N126" i="30"/>
  <c r="K126" i="30"/>
  <c r="M127" i="30"/>
  <c r="N127" i="30"/>
  <c r="K127" i="30"/>
  <c r="M128" i="30"/>
  <c r="N128" i="30"/>
  <c r="K128" i="30"/>
  <c r="M129" i="30"/>
  <c r="N129" i="30"/>
  <c r="K129" i="30"/>
  <c r="M130" i="30"/>
  <c r="N130" i="30"/>
  <c r="K130" i="30"/>
  <c r="M131" i="30"/>
  <c r="N131" i="30"/>
  <c r="K131" i="30"/>
  <c r="M132" i="30"/>
  <c r="N132" i="30"/>
  <c r="K132" i="30"/>
  <c r="M133" i="30"/>
  <c r="N133" i="30"/>
  <c r="K133" i="30"/>
  <c r="M134" i="30"/>
  <c r="N134" i="30"/>
  <c r="K134" i="30"/>
  <c r="M135" i="30"/>
  <c r="N135" i="30"/>
  <c r="K135" i="30"/>
  <c r="M136" i="30"/>
  <c r="N136" i="30"/>
  <c r="K136" i="30"/>
  <c r="M137" i="30"/>
  <c r="N137" i="30"/>
  <c r="K137" i="30"/>
  <c r="M138" i="30"/>
  <c r="N138" i="30"/>
  <c r="K138" i="30"/>
  <c r="M139" i="30"/>
  <c r="N139" i="30"/>
  <c r="K139" i="30"/>
  <c r="M140" i="30"/>
  <c r="N140" i="30"/>
  <c r="K140" i="30"/>
  <c r="M141" i="30"/>
  <c r="N141" i="30"/>
  <c r="K141" i="30"/>
  <c r="M142" i="30"/>
  <c r="N142" i="30"/>
  <c r="K142" i="30"/>
  <c r="M143" i="30"/>
  <c r="N143" i="30"/>
  <c r="K143" i="30"/>
  <c r="M144" i="30"/>
  <c r="N144" i="30"/>
  <c r="K144" i="30"/>
  <c r="M145" i="30"/>
  <c r="N145" i="30"/>
  <c r="K145" i="30"/>
  <c r="M146" i="30"/>
  <c r="N146" i="30"/>
  <c r="K146" i="30"/>
  <c r="M147" i="30"/>
  <c r="N147" i="30"/>
  <c r="K147" i="30"/>
  <c r="M148" i="30"/>
  <c r="N148" i="30"/>
  <c r="K148" i="30"/>
  <c r="M149" i="30"/>
  <c r="N149" i="30"/>
  <c r="K149" i="30"/>
  <c r="M150" i="30"/>
  <c r="N150" i="30"/>
  <c r="K150" i="30"/>
  <c r="M151" i="30"/>
  <c r="N151" i="30"/>
  <c r="K151" i="30"/>
  <c r="M152" i="30"/>
  <c r="N152" i="30"/>
  <c r="K152" i="30"/>
  <c r="M153" i="30"/>
  <c r="N153" i="30"/>
  <c r="K153" i="30"/>
  <c r="M154" i="30"/>
  <c r="N154" i="30"/>
  <c r="K154" i="30"/>
  <c r="M155" i="30"/>
  <c r="N155" i="30"/>
  <c r="K155" i="30"/>
  <c r="M156" i="30"/>
  <c r="N156" i="30"/>
  <c r="K156" i="30"/>
  <c r="M157" i="30"/>
  <c r="N157" i="30"/>
  <c r="K157" i="30"/>
  <c r="M158" i="30"/>
  <c r="N158" i="30"/>
  <c r="K158" i="30"/>
  <c r="M159" i="30"/>
  <c r="N159" i="30"/>
  <c r="K159" i="30"/>
  <c r="M160" i="30"/>
  <c r="N160" i="30"/>
  <c r="K160" i="30"/>
  <c r="M161" i="30"/>
  <c r="N161" i="30"/>
  <c r="K161" i="30"/>
  <c r="M162" i="30"/>
  <c r="N162" i="30"/>
  <c r="K162" i="30"/>
  <c r="M163" i="30"/>
  <c r="N163" i="30"/>
  <c r="K163" i="30"/>
  <c r="M164" i="30"/>
  <c r="N164" i="30"/>
  <c r="K164" i="30"/>
  <c r="M165" i="30"/>
  <c r="N165" i="30"/>
  <c r="K165" i="30"/>
  <c r="M166" i="30"/>
  <c r="N166" i="30"/>
  <c r="K166" i="30"/>
  <c r="M167" i="30"/>
  <c r="N167" i="30"/>
  <c r="K167" i="30"/>
  <c r="M168" i="30"/>
  <c r="N168" i="30"/>
  <c r="K168" i="30"/>
  <c r="M169" i="30"/>
  <c r="N169" i="30"/>
  <c r="K169" i="30"/>
  <c r="I12" i="27"/>
  <c r="I11" i="27"/>
  <c r="I13" i="27"/>
  <c r="I14" i="27"/>
  <c r="E2" i="36"/>
  <c r="I8" i="32"/>
  <c r="I9" i="32"/>
  <c r="I10" i="32"/>
  <c r="I11" i="32"/>
  <c r="I12" i="32"/>
  <c r="I13" i="32"/>
  <c r="I14" i="32"/>
  <c r="I15" i="32"/>
  <c r="I16" i="32"/>
  <c r="I17" i="32"/>
  <c r="I18" i="32"/>
  <c r="I19" i="32"/>
  <c r="I20" i="32"/>
  <c r="I21" i="32"/>
  <c r="I22" i="32"/>
  <c r="I23" i="32"/>
  <c r="A6" i="35"/>
  <c r="A7" i="35"/>
  <c r="A8" i="35"/>
  <c r="A9" i="35"/>
  <c r="A10" i="35"/>
  <c r="A11" i="35"/>
  <c r="A12" i="35"/>
  <c r="A13" i="35"/>
  <c r="A14" i="35"/>
  <c r="A15" i="35"/>
  <c r="A16" i="35"/>
  <c r="A17" i="35"/>
  <c r="A18" i="35"/>
  <c r="A19" i="35"/>
  <c r="A20" i="35"/>
  <c r="A21" i="35"/>
  <c r="A22" i="35"/>
  <c r="A23" i="35"/>
  <c r="A24" i="35"/>
  <c r="E21" i="32" s="1"/>
  <c r="A25" i="35"/>
  <c r="A26" i="35"/>
  <c r="F21" i="36"/>
  <c r="F20" i="36"/>
  <c r="F19" i="36"/>
  <c r="F18" i="36"/>
  <c r="F17" i="36"/>
  <c r="F16" i="36"/>
  <c r="F15" i="36"/>
  <c r="F14" i="36"/>
  <c r="F13" i="36"/>
  <c r="F12" i="36"/>
  <c r="F11" i="36"/>
  <c r="F10" i="36"/>
  <c r="F9" i="36"/>
  <c r="F8" i="36"/>
  <c r="F7" i="36"/>
  <c r="F6" i="36"/>
  <c r="F5" i="36"/>
  <c r="F4" i="36"/>
  <c r="F3" i="36"/>
  <c r="F2" i="36"/>
  <c r="I3" i="32" s="1"/>
  <c r="J3" i="30"/>
  <c r="J4" i="30"/>
  <c r="J5" i="30"/>
  <c r="J6" i="30"/>
  <c r="J7" i="30"/>
  <c r="J8" i="30"/>
  <c r="J9" i="30"/>
  <c r="J10" i="30"/>
  <c r="J11" i="30"/>
  <c r="J13" i="30"/>
  <c r="J14" i="30"/>
  <c r="J15" i="30"/>
  <c r="J16" i="30"/>
  <c r="J17" i="30"/>
  <c r="J18" i="30"/>
  <c r="J19" i="30"/>
  <c r="J20" i="30"/>
  <c r="J21" i="30"/>
  <c r="J22" i="30"/>
  <c r="J23" i="30"/>
  <c r="J24" i="30"/>
  <c r="J25" i="30"/>
  <c r="J26" i="30"/>
  <c r="J27" i="30"/>
  <c r="J28" i="30"/>
  <c r="J29" i="30"/>
  <c r="J30" i="30"/>
  <c r="J31" i="30"/>
  <c r="J32" i="30"/>
  <c r="J33" i="30"/>
  <c r="J34" i="30"/>
  <c r="J35" i="30"/>
  <c r="J36" i="30"/>
  <c r="J37" i="30"/>
  <c r="J38" i="30"/>
  <c r="J39" i="30"/>
  <c r="J40" i="30"/>
  <c r="J41" i="30"/>
  <c r="J42" i="30"/>
  <c r="J43" i="30"/>
  <c r="J44" i="30"/>
  <c r="J45" i="30"/>
  <c r="J46" i="30"/>
  <c r="J47" i="30"/>
  <c r="J48" i="30"/>
  <c r="J49" i="30"/>
  <c r="J50" i="30"/>
  <c r="J51" i="30"/>
  <c r="J52" i="30"/>
  <c r="J53" i="30"/>
  <c r="J54" i="30"/>
  <c r="J55" i="30"/>
  <c r="J56" i="30"/>
  <c r="J57" i="30"/>
  <c r="J58" i="30"/>
  <c r="J59" i="30"/>
  <c r="J60" i="30"/>
  <c r="J61" i="30"/>
  <c r="J62" i="30"/>
  <c r="J63" i="30"/>
  <c r="J64" i="30"/>
  <c r="J65" i="30"/>
  <c r="J66" i="30"/>
  <c r="J67" i="30"/>
  <c r="J68" i="30"/>
  <c r="J69" i="30"/>
  <c r="J70" i="30"/>
  <c r="J71" i="30"/>
  <c r="J72" i="30"/>
  <c r="J73" i="30"/>
  <c r="J74" i="30"/>
  <c r="J75" i="30"/>
  <c r="J76" i="30"/>
  <c r="J77" i="30"/>
  <c r="J78" i="30"/>
  <c r="J79" i="30"/>
  <c r="J80" i="30"/>
  <c r="J81" i="30"/>
  <c r="J82" i="30"/>
  <c r="J83" i="30"/>
  <c r="J84" i="30"/>
  <c r="J85" i="30"/>
  <c r="J86" i="30"/>
  <c r="J87" i="30"/>
  <c r="J88" i="30"/>
  <c r="J89" i="30"/>
  <c r="J90" i="30"/>
  <c r="J91" i="30"/>
  <c r="J92" i="30"/>
  <c r="J93" i="30"/>
  <c r="J94" i="30"/>
  <c r="J95" i="30"/>
  <c r="J96" i="30"/>
  <c r="J97" i="30"/>
  <c r="J98" i="30"/>
  <c r="J99" i="30"/>
  <c r="J100" i="30"/>
  <c r="J101" i="30"/>
  <c r="J102" i="30"/>
  <c r="J103" i="30"/>
  <c r="J104" i="30"/>
  <c r="J105" i="30"/>
  <c r="J106" i="30"/>
  <c r="J107" i="30"/>
  <c r="J108" i="30"/>
  <c r="J109" i="30"/>
  <c r="J110" i="30"/>
  <c r="J111" i="30"/>
  <c r="J112" i="30"/>
  <c r="J113" i="30"/>
  <c r="J114" i="30"/>
  <c r="J115" i="30"/>
  <c r="J116" i="30"/>
  <c r="J117" i="30"/>
  <c r="J118" i="30"/>
  <c r="J119" i="30"/>
  <c r="J120" i="30"/>
  <c r="J121" i="30"/>
  <c r="J122" i="30"/>
  <c r="J123" i="30"/>
  <c r="J124" i="30"/>
  <c r="J125" i="30"/>
  <c r="J126" i="30"/>
  <c r="J127" i="30"/>
  <c r="J128" i="30"/>
  <c r="J129" i="30"/>
  <c r="J130" i="30"/>
  <c r="J131" i="30"/>
  <c r="J132" i="30"/>
  <c r="J133" i="30"/>
  <c r="J134" i="30"/>
  <c r="J135" i="30"/>
  <c r="J136" i="30"/>
  <c r="J137" i="30"/>
  <c r="J138" i="30"/>
  <c r="J139" i="30"/>
  <c r="J140" i="30"/>
  <c r="J141" i="30"/>
  <c r="J142" i="30"/>
  <c r="J143" i="30"/>
  <c r="J144" i="30"/>
  <c r="J145" i="30"/>
  <c r="J146" i="30"/>
  <c r="J147" i="30"/>
  <c r="J148" i="30"/>
  <c r="J149" i="30"/>
  <c r="J150" i="30"/>
  <c r="J151" i="30"/>
  <c r="J152" i="30"/>
  <c r="J153" i="30"/>
  <c r="J154" i="30"/>
  <c r="J155" i="30"/>
  <c r="J156" i="30"/>
  <c r="J157" i="30"/>
  <c r="J158" i="30"/>
  <c r="J159" i="30"/>
  <c r="J160" i="30"/>
  <c r="J161" i="30"/>
  <c r="J162" i="30"/>
  <c r="J163" i="30"/>
  <c r="J164" i="30"/>
  <c r="J165" i="30"/>
  <c r="J166" i="30"/>
  <c r="J167" i="30"/>
  <c r="J168" i="30"/>
  <c r="J169" i="30"/>
  <c r="Q4" i="30"/>
  <c r="Q5" i="30"/>
  <c r="Q6" i="30"/>
  <c r="Q7" i="30"/>
  <c r="Q8" i="30"/>
  <c r="Q9" i="30"/>
  <c r="Q10" i="30"/>
  <c r="Q11" i="30"/>
  <c r="Q13" i="30"/>
  <c r="Q14" i="30"/>
  <c r="Q15" i="30"/>
  <c r="Q16" i="30"/>
  <c r="Q17" i="30"/>
  <c r="Q18" i="30"/>
  <c r="Q19" i="30"/>
  <c r="Q20" i="30"/>
  <c r="Q21" i="30"/>
  <c r="Q22" i="30"/>
  <c r="Q23" i="30"/>
  <c r="Q24" i="30"/>
  <c r="Q25" i="30"/>
  <c r="Q26" i="30"/>
  <c r="Q27" i="30"/>
  <c r="Q28" i="30"/>
  <c r="Q29" i="30"/>
  <c r="Q30" i="30"/>
  <c r="Q31" i="30"/>
  <c r="Q32" i="30"/>
  <c r="Q33" i="30"/>
  <c r="Q34" i="30"/>
  <c r="Q35" i="30"/>
  <c r="Q36" i="30"/>
  <c r="Q37" i="30"/>
  <c r="Q38" i="30"/>
  <c r="Q39" i="30"/>
  <c r="Q40" i="30"/>
  <c r="Q41" i="30"/>
  <c r="Q42" i="30"/>
  <c r="Q43" i="30"/>
  <c r="Q44" i="30"/>
  <c r="Q45" i="30"/>
  <c r="Q46" i="30"/>
  <c r="Q47" i="30"/>
  <c r="Q48" i="30"/>
  <c r="Q49" i="30"/>
  <c r="Q50" i="30"/>
  <c r="Q51" i="30"/>
  <c r="Q52" i="30"/>
  <c r="Q53" i="30"/>
  <c r="Q54" i="30"/>
  <c r="Q55" i="30"/>
  <c r="Q56" i="30"/>
  <c r="Q57" i="30"/>
  <c r="Q58" i="30"/>
  <c r="Q59" i="30"/>
  <c r="Q60" i="30"/>
  <c r="Q61" i="30"/>
  <c r="Q62" i="30"/>
  <c r="Q63" i="30"/>
  <c r="Q64" i="30"/>
  <c r="Q65" i="30"/>
  <c r="Q66" i="30"/>
  <c r="Q67" i="30"/>
  <c r="Q68" i="30"/>
  <c r="Q69" i="30"/>
  <c r="Q70" i="30"/>
  <c r="Q71" i="30"/>
  <c r="Q72" i="30"/>
  <c r="Q73" i="30"/>
  <c r="Q74" i="30"/>
  <c r="Q75" i="30"/>
  <c r="Q76" i="30"/>
  <c r="Q77" i="30"/>
  <c r="Q78" i="30"/>
  <c r="Q79" i="30"/>
  <c r="Q80" i="30"/>
  <c r="Q81" i="30"/>
  <c r="Q82" i="30"/>
  <c r="Q83" i="30"/>
  <c r="Q84" i="30"/>
  <c r="Q85" i="30"/>
  <c r="Q86" i="30"/>
  <c r="Q87" i="30"/>
  <c r="Q88" i="30"/>
  <c r="Q89" i="30"/>
  <c r="Q90" i="30"/>
  <c r="Q91" i="30"/>
  <c r="Q92" i="30"/>
  <c r="Q93" i="30"/>
  <c r="Q94" i="30"/>
  <c r="Q95" i="30"/>
  <c r="Q96" i="30"/>
  <c r="Q97" i="30"/>
  <c r="Q98" i="30"/>
  <c r="Q99" i="30"/>
  <c r="Q100" i="30"/>
  <c r="Q101" i="30"/>
  <c r="Q102" i="30"/>
  <c r="Q103" i="30"/>
  <c r="Q104" i="30"/>
  <c r="Q105" i="30"/>
  <c r="Q106" i="30"/>
  <c r="Q107" i="30"/>
  <c r="Q108" i="30"/>
  <c r="Q109" i="30"/>
  <c r="Q110" i="30"/>
  <c r="Q111" i="30"/>
  <c r="Q112" i="30"/>
  <c r="Q113" i="30"/>
  <c r="Q114" i="30"/>
  <c r="Q115" i="30"/>
  <c r="Q116" i="30"/>
  <c r="Q117" i="30"/>
  <c r="Q118" i="30"/>
  <c r="Q119" i="30"/>
  <c r="Q120" i="30"/>
  <c r="Q121" i="30"/>
  <c r="Q122" i="30"/>
  <c r="Q123" i="30"/>
  <c r="Q124" i="30"/>
  <c r="Q125" i="30"/>
  <c r="Q126" i="30"/>
  <c r="Q127" i="30"/>
  <c r="Q128" i="30"/>
  <c r="Q129" i="30"/>
  <c r="Q130" i="30"/>
  <c r="Q131" i="30"/>
  <c r="Q132" i="30"/>
  <c r="Q133" i="30"/>
  <c r="Q134" i="30"/>
  <c r="Q135" i="30"/>
  <c r="Q136" i="30"/>
  <c r="Q137" i="30"/>
  <c r="Q138" i="30"/>
  <c r="Q139" i="30"/>
  <c r="Q140" i="30"/>
  <c r="Q141" i="30"/>
  <c r="Q142" i="30"/>
  <c r="Q143" i="30"/>
  <c r="Q144" i="30"/>
  <c r="Q145" i="30"/>
  <c r="Q146" i="30"/>
  <c r="Q147" i="30"/>
  <c r="Q148" i="30"/>
  <c r="Q149" i="30"/>
  <c r="Q150" i="30"/>
  <c r="Q151" i="30"/>
  <c r="Q152" i="30"/>
  <c r="Q153" i="30"/>
  <c r="Q154" i="30"/>
  <c r="Q155" i="30"/>
  <c r="Q156" i="30"/>
  <c r="Q157" i="30"/>
  <c r="Q158" i="30"/>
  <c r="Q159" i="30"/>
  <c r="Q160" i="30"/>
  <c r="Q161" i="30"/>
  <c r="Q162" i="30"/>
  <c r="Q163" i="30"/>
  <c r="Q164" i="30"/>
  <c r="Q165" i="30"/>
  <c r="Q166" i="30"/>
  <c r="Q167" i="30"/>
  <c r="Q168" i="30"/>
  <c r="Q169" i="30"/>
  <c r="Q3" i="30"/>
  <c r="D8" i="1"/>
  <c r="AB79" i="3" s="1"/>
  <c r="AB126" i="3"/>
  <c r="AB127" i="3"/>
  <c r="AB128" i="3"/>
  <c r="AB129" i="3"/>
  <c r="AB130" i="3"/>
  <c r="AB131" i="3"/>
  <c r="AB132" i="3"/>
  <c r="AB133" i="3"/>
  <c r="AB134" i="3"/>
  <c r="AB135" i="3"/>
  <c r="Y126" i="3"/>
  <c r="Y127" i="3"/>
  <c r="Y128" i="3"/>
  <c r="Y129" i="3"/>
  <c r="Y130" i="3"/>
  <c r="Y131" i="3"/>
  <c r="Y132" i="3"/>
  <c r="Y133" i="3"/>
  <c r="Y134" i="3"/>
  <c r="Y135" i="3"/>
  <c r="V126" i="3"/>
  <c r="V127" i="3"/>
  <c r="V128" i="3"/>
  <c r="V129" i="3"/>
  <c r="V130" i="3"/>
  <c r="V131" i="3"/>
  <c r="V132" i="3"/>
  <c r="V133" i="3"/>
  <c r="V134" i="3"/>
  <c r="V135" i="3"/>
  <c r="S126" i="3"/>
  <c r="S127" i="3"/>
  <c r="S128" i="3"/>
  <c r="S129" i="3"/>
  <c r="S130" i="3"/>
  <c r="S131" i="3"/>
  <c r="S132" i="3"/>
  <c r="S133" i="3"/>
  <c r="S134" i="3"/>
  <c r="S135" i="3"/>
  <c r="P126" i="3"/>
  <c r="P127" i="3"/>
  <c r="P128" i="3"/>
  <c r="P129" i="3"/>
  <c r="P130" i="3"/>
  <c r="P131" i="3"/>
  <c r="P132" i="3"/>
  <c r="P133" i="3"/>
  <c r="P134" i="3"/>
  <c r="P135" i="3"/>
  <c r="M126" i="3"/>
  <c r="M127" i="3"/>
  <c r="M128" i="3"/>
  <c r="M129" i="3"/>
  <c r="M130" i="3"/>
  <c r="M131" i="3"/>
  <c r="M132" i="3"/>
  <c r="M133" i="3"/>
  <c r="M134" i="3"/>
  <c r="M135" i="3"/>
  <c r="J126" i="3"/>
  <c r="J127" i="3"/>
  <c r="J128" i="3"/>
  <c r="J129" i="3"/>
  <c r="J130" i="3"/>
  <c r="J131" i="3"/>
  <c r="J132" i="3"/>
  <c r="J133" i="3"/>
  <c r="J134" i="3"/>
  <c r="J135" i="3"/>
  <c r="AC116" i="3"/>
  <c r="AC117" i="3"/>
  <c r="AC118" i="3"/>
  <c r="AC119" i="3"/>
  <c r="AC120" i="3"/>
  <c r="AC121" i="3"/>
  <c r="AC122" i="3"/>
  <c r="AC123" i="3"/>
  <c r="AC124" i="3"/>
  <c r="AC125" i="3"/>
  <c r="AB116" i="3"/>
  <c r="AB117" i="3"/>
  <c r="AB118" i="3"/>
  <c r="AB119" i="3"/>
  <c r="AB120" i="3"/>
  <c r="AD120" i="3" s="1"/>
  <c r="AB121" i="3"/>
  <c r="AB122" i="3"/>
  <c r="AB123" i="3"/>
  <c r="AB124" i="3"/>
  <c r="AD124" i="3" s="1"/>
  <c r="AB125" i="3"/>
  <c r="Z116" i="3"/>
  <c r="AA116" i="3" s="1"/>
  <c r="Y116" i="3"/>
  <c r="Z117" i="3"/>
  <c r="AA117" i="3"/>
  <c r="Y117" i="3"/>
  <c r="Z118" i="3"/>
  <c r="Y118" i="3"/>
  <c r="Z119" i="3"/>
  <c r="AA119" i="3" s="1"/>
  <c r="Y119" i="3"/>
  <c r="Z120" i="3"/>
  <c r="Y120" i="3"/>
  <c r="AA120" i="3" s="1"/>
  <c r="Z121" i="3"/>
  <c r="AA121" i="3" s="1"/>
  <c r="Y121" i="3"/>
  <c r="Z122" i="3"/>
  <c r="AA122" i="3"/>
  <c r="Y122" i="3"/>
  <c r="Z123" i="3"/>
  <c r="Y123" i="3"/>
  <c r="Z124" i="3"/>
  <c r="Y124" i="3"/>
  <c r="Z125" i="3"/>
  <c r="Y125" i="3"/>
  <c r="W116" i="3"/>
  <c r="V116" i="3"/>
  <c r="X116" i="3"/>
  <c r="W117" i="3"/>
  <c r="V117" i="3"/>
  <c r="W118" i="3"/>
  <c r="V118" i="3"/>
  <c r="W119" i="3"/>
  <c r="V119" i="3"/>
  <c r="X119" i="3" s="1"/>
  <c r="W120" i="3"/>
  <c r="X120" i="3" s="1"/>
  <c r="V120" i="3"/>
  <c r="W121" i="3"/>
  <c r="V121" i="3"/>
  <c r="X121" i="3"/>
  <c r="W122" i="3"/>
  <c r="V122" i="3"/>
  <c r="W123" i="3"/>
  <c r="V123" i="3"/>
  <c r="W124" i="3"/>
  <c r="V124" i="3"/>
  <c r="W125" i="3"/>
  <c r="X125" i="3" s="1"/>
  <c r="V125" i="3"/>
  <c r="T116" i="3"/>
  <c r="U116" i="3" s="1"/>
  <c r="S116" i="3"/>
  <c r="T117" i="3"/>
  <c r="U117" i="3" s="1"/>
  <c r="S117" i="3"/>
  <c r="T118" i="3"/>
  <c r="S118" i="3"/>
  <c r="T119" i="3"/>
  <c r="S119" i="3"/>
  <c r="T120" i="3"/>
  <c r="S120" i="3"/>
  <c r="T121" i="3"/>
  <c r="U121" i="3" s="1"/>
  <c r="S121" i="3"/>
  <c r="T122" i="3"/>
  <c r="U122" i="3" s="1"/>
  <c r="S122" i="3"/>
  <c r="T123" i="3"/>
  <c r="U123" i="3" s="1"/>
  <c r="S123" i="3"/>
  <c r="T124" i="3"/>
  <c r="U124" i="3" s="1"/>
  <c r="S124" i="3"/>
  <c r="T125" i="3"/>
  <c r="S125" i="3"/>
  <c r="U125" i="3" s="1"/>
  <c r="Q116" i="3"/>
  <c r="P116" i="3"/>
  <c r="Q117" i="3"/>
  <c r="R117" i="3" s="1"/>
  <c r="P117" i="3"/>
  <c r="Q118" i="3"/>
  <c r="R118" i="3" s="1"/>
  <c r="P118" i="3"/>
  <c r="Q119" i="3"/>
  <c r="P119" i="3"/>
  <c r="Q120" i="3"/>
  <c r="P120" i="3"/>
  <c r="R120" i="3" s="1"/>
  <c r="Q121" i="3"/>
  <c r="P121" i="3"/>
  <c r="Q122" i="3"/>
  <c r="R122" i="3" s="1"/>
  <c r="P122" i="3"/>
  <c r="Q123" i="3"/>
  <c r="P123" i="3"/>
  <c r="Q124" i="3"/>
  <c r="P124" i="3"/>
  <c r="R124" i="3"/>
  <c r="Q125" i="3"/>
  <c r="P125" i="3"/>
  <c r="N116" i="3"/>
  <c r="M116" i="3"/>
  <c r="N117" i="3"/>
  <c r="M117" i="3"/>
  <c r="N118" i="3"/>
  <c r="O118" i="3" s="1"/>
  <c r="M118" i="3"/>
  <c r="N119" i="3"/>
  <c r="O119" i="3" s="1"/>
  <c r="M119" i="3"/>
  <c r="N120" i="3"/>
  <c r="M120" i="3"/>
  <c r="O120" i="3"/>
  <c r="N121" i="3"/>
  <c r="M121" i="3"/>
  <c r="N122" i="3"/>
  <c r="M122" i="3"/>
  <c r="N123" i="3"/>
  <c r="M123" i="3"/>
  <c r="N124" i="3"/>
  <c r="O124" i="3" s="1"/>
  <c r="M124" i="3"/>
  <c r="N125" i="3"/>
  <c r="M125" i="3"/>
  <c r="O125" i="3" s="1"/>
  <c r="K116" i="3"/>
  <c r="J116" i="3"/>
  <c r="K117" i="3"/>
  <c r="J117" i="3"/>
  <c r="K118" i="3"/>
  <c r="J118" i="3"/>
  <c r="K119" i="3"/>
  <c r="J119" i="3"/>
  <c r="K120" i="3"/>
  <c r="J120" i="3"/>
  <c r="K121" i="3"/>
  <c r="J121" i="3"/>
  <c r="K122" i="3"/>
  <c r="J122" i="3"/>
  <c r="K123" i="3"/>
  <c r="J123" i="3"/>
  <c r="K124" i="3"/>
  <c r="J124" i="3"/>
  <c r="K125" i="3"/>
  <c r="J125" i="3"/>
  <c r="H116" i="3"/>
  <c r="G116" i="3"/>
  <c r="H117" i="3"/>
  <c r="G117" i="3"/>
  <c r="H118" i="3"/>
  <c r="G118" i="3"/>
  <c r="H119" i="3"/>
  <c r="G119" i="3"/>
  <c r="H120" i="3"/>
  <c r="G120" i="3"/>
  <c r="H121" i="3"/>
  <c r="G121" i="3"/>
  <c r="H122" i="3"/>
  <c r="G122" i="3"/>
  <c r="H123" i="3"/>
  <c r="G123" i="3"/>
  <c r="H124" i="3"/>
  <c r="G124" i="3"/>
  <c r="H125" i="3"/>
  <c r="G125" i="3"/>
  <c r="Z171" i="9"/>
  <c r="Y14" i="20" s="1"/>
  <c r="Y171" i="9"/>
  <c r="X14" i="20" s="1"/>
  <c r="X171" i="9"/>
  <c r="W14" i="20" s="1"/>
  <c r="W171" i="9"/>
  <c r="V14" i="20" s="1"/>
  <c r="V171" i="9"/>
  <c r="U14" i="20" s="1"/>
  <c r="U171" i="9"/>
  <c r="T14" i="20"/>
  <c r="T171" i="9"/>
  <c r="S14" i="20" s="1"/>
  <c r="S171" i="9"/>
  <c r="R14" i="20"/>
  <c r="R171" i="9"/>
  <c r="Q14" i="20" s="1"/>
  <c r="Q171" i="9"/>
  <c r="P14" i="20"/>
  <c r="P171" i="9"/>
  <c r="O14" i="20" s="1"/>
  <c r="O171" i="9"/>
  <c r="N14" i="20" s="1"/>
  <c r="N171" i="9"/>
  <c r="M14" i="20" s="1"/>
  <c r="M171" i="9"/>
  <c r="L14" i="20" s="1"/>
  <c r="L171" i="9"/>
  <c r="K14" i="20" s="1"/>
  <c r="K171" i="9"/>
  <c r="J14" i="20"/>
  <c r="J171" i="9"/>
  <c r="I14" i="20" s="1"/>
  <c r="I171" i="9"/>
  <c r="H14" i="20" s="1"/>
  <c r="H171" i="9"/>
  <c r="G14" i="20"/>
  <c r="G171" i="9"/>
  <c r="F14" i="20" s="1"/>
  <c r="E14" i="20"/>
  <c r="AC106" i="3"/>
  <c r="AD106" i="3" s="1"/>
  <c r="AC107" i="3"/>
  <c r="AC108" i="3"/>
  <c r="AC109" i="3"/>
  <c r="AC110" i="3"/>
  <c r="AD110" i="3" s="1"/>
  <c r="AC111" i="3"/>
  <c r="AC112" i="3"/>
  <c r="AC113" i="3"/>
  <c r="AC114" i="3"/>
  <c r="AD114" i="3" s="1"/>
  <c r="AC115" i="3"/>
  <c r="AD115" i="3" s="1"/>
  <c r="AB106" i="3"/>
  <c r="AB107" i="3"/>
  <c r="AD107" i="3" s="1"/>
  <c r="AB108" i="3"/>
  <c r="AD108" i="3" s="1"/>
  <c r="AB109" i="3"/>
  <c r="AB110" i="3"/>
  <c r="AB111" i="3"/>
  <c r="AD111" i="3" s="1"/>
  <c r="AB112" i="3"/>
  <c r="AB113" i="3"/>
  <c r="AB114" i="3"/>
  <c r="AB115" i="3"/>
  <c r="Z106" i="3"/>
  <c r="Y106" i="3"/>
  <c r="Z107" i="3"/>
  <c r="Y107" i="3"/>
  <c r="AA107" i="3" s="1"/>
  <c r="Z108" i="3"/>
  <c r="Y108" i="3"/>
  <c r="Z109" i="3"/>
  <c r="Y109" i="3"/>
  <c r="AA109" i="3" s="1"/>
  <c r="Z110" i="3"/>
  <c r="AA110" i="3" s="1"/>
  <c r="Y110" i="3"/>
  <c r="Z111" i="3"/>
  <c r="Y111" i="3"/>
  <c r="AA111" i="3" s="1"/>
  <c r="Z112" i="3"/>
  <c r="Y112" i="3"/>
  <c r="Z113" i="3"/>
  <c r="Y113" i="3"/>
  <c r="AA113" i="3" s="1"/>
  <c r="Z114" i="3"/>
  <c r="Y114" i="3"/>
  <c r="Z115" i="3"/>
  <c r="AA115" i="3" s="1"/>
  <c r="Y115" i="3"/>
  <c r="W106" i="3"/>
  <c r="X106" i="3" s="1"/>
  <c r="V106" i="3"/>
  <c r="W107" i="3"/>
  <c r="X107" i="3" s="1"/>
  <c r="V107" i="3"/>
  <c r="W108" i="3"/>
  <c r="V108" i="3"/>
  <c r="W109" i="3"/>
  <c r="V109" i="3"/>
  <c r="W110" i="3"/>
  <c r="V110" i="3"/>
  <c r="W111" i="3"/>
  <c r="V111" i="3"/>
  <c r="W112" i="3"/>
  <c r="V112" i="3"/>
  <c r="W113" i="3"/>
  <c r="V113" i="3"/>
  <c r="X113" i="3" s="1"/>
  <c r="W114" i="3"/>
  <c r="V114" i="3"/>
  <c r="W115" i="3"/>
  <c r="V115" i="3"/>
  <c r="X115" i="3"/>
  <c r="T106" i="3"/>
  <c r="S106" i="3"/>
  <c r="T107" i="3"/>
  <c r="S107" i="3"/>
  <c r="T108" i="3"/>
  <c r="U108" i="3" s="1"/>
  <c r="S108" i="3"/>
  <c r="T109" i="3"/>
  <c r="S109" i="3"/>
  <c r="U109" i="3" s="1"/>
  <c r="T110" i="3"/>
  <c r="U110" i="3" s="1"/>
  <c r="S110" i="3"/>
  <c r="T111" i="3"/>
  <c r="U111" i="3" s="1"/>
  <c r="S111" i="3"/>
  <c r="T112" i="3"/>
  <c r="S112" i="3"/>
  <c r="U112" i="3"/>
  <c r="T113" i="3"/>
  <c r="S113" i="3"/>
  <c r="U113" i="3" s="1"/>
  <c r="T114" i="3"/>
  <c r="S114" i="3"/>
  <c r="T115" i="3"/>
  <c r="S115" i="3"/>
  <c r="Q106" i="3"/>
  <c r="P106" i="3"/>
  <c r="Q107" i="3"/>
  <c r="P107" i="3"/>
  <c r="Q108" i="3"/>
  <c r="R108" i="3" s="1"/>
  <c r="P108" i="3"/>
  <c r="Q109" i="3"/>
  <c r="P109" i="3"/>
  <c r="Q110" i="3"/>
  <c r="P110" i="3"/>
  <c r="L4" i="20" s="1"/>
  <c r="Q111" i="3"/>
  <c r="P111" i="3"/>
  <c r="R111" i="3" s="1"/>
  <c r="Q112" i="3"/>
  <c r="P112" i="3"/>
  <c r="R112" i="3"/>
  <c r="Q113" i="3"/>
  <c r="P113" i="3"/>
  <c r="Q114" i="3"/>
  <c r="P114" i="3"/>
  <c r="R114" i="3" s="1"/>
  <c r="Q115" i="3"/>
  <c r="P115" i="3"/>
  <c r="N106" i="3"/>
  <c r="M106" i="3"/>
  <c r="N107" i="3"/>
  <c r="O107" i="3" s="1"/>
  <c r="M107" i="3"/>
  <c r="N108" i="3"/>
  <c r="O108" i="3"/>
  <c r="M108" i="3"/>
  <c r="N109" i="3"/>
  <c r="M109" i="3"/>
  <c r="N110" i="3"/>
  <c r="M110" i="3"/>
  <c r="N111" i="3"/>
  <c r="M111" i="3"/>
  <c r="N112" i="3"/>
  <c r="M112" i="3"/>
  <c r="N113" i="3"/>
  <c r="M113" i="3"/>
  <c r="O113" i="3" s="1"/>
  <c r="N114" i="3"/>
  <c r="M114" i="3"/>
  <c r="O114" i="3"/>
  <c r="N115" i="3"/>
  <c r="O115" i="3"/>
  <c r="M115" i="3"/>
  <c r="K106" i="3"/>
  <c r="J106" i="3"/>
  <c r="L106" i="3" s="1"/>
  <c r="K107" i="3"/>
  <c r="J107" i="3"/>
  <c r="K108" i="3"/>
  <c r="J108" i="3"/>
  <c r="K109" i="3"/>
  <c r="J109" i="3"/>
  <c r="K110" i="3"/>
  <c r="J110" i="3"/>
  <c r="K111" i="3"/>
  <c r="J111" i="3"/>
  <c r="K112" i="3"/>
  <c r="J112" i="3"/>
  <c r="K113" i="3"/>
  <c r="J113" i="3"/>
  <c r="K114" i="3"/>
  <c r="J114" i="3"/>
  <c r="K115" i="3"/>
  <c r="J115" i="3"/>
  <c r="H106" i="3"/>
  <c r="G106" i="3"/>
  <c r="H107" i="3"/>
  <c r="G107" i="3"/>
  <c r="H108" i="3"/>
  <c r="G108" i="3"/>
  <c r="H109" i="3"/>
  <c r="G109" i="3"/>
  <c r="H110" i="3"/>
  <c r="G110" i="3"/>
  <c r="H111" i="3"/>
  <c r="G111" i="3"/>
  <c r="H112" i="3"/>
  <c r="G112" i="3"/>
  <c r="H113" i="3"/>
  <c r="G113" i="3"/>
  <c r="H114" i="3"/>
  <c r="G114" i="3"/>
  <c r="H115" i="3"/>
  <c r="G115" i="3"/>
  <c r="D18" i="20"/>
  <c r="Y2" i="20"/>
  <c r="X2" i="20"/>
  <c r="W2" i="20"/>
  <c r="V2" i="20"/>
  <c r="U2" i="20"/>
  <c r="T2" i="20"/>
  <c r="S2" i="20"/>
  <c r="R2" i="20"/>
  <c r="Q2" i="20"/>
  <c r="P2" i="20"/>
  <c r="O2" i="20"/>
  <c r="N2" i="20"/>
  <c r="M2" i="20"/>
  <c r="L2" i="20"/>
  <c r="K2" i="20"/>
  <c r="J2" i="20"/>
  <c r="I2" i="20"/>
  <c r="H2" i="20"/>
  <c r="G2" i="20"/>
  <c r="F2" i="20"/>
  <c r="E2" i="20"/>
  <c r="AG2" i="20"/>
  <c r="BA2" i="20"/>
  <c r="AZ2" i="20"/>
  <c r="AY2" i="20"/>
  <c r="AX2" i="20"/>
  <c r="AW2" i="20"/>
  <c r="AV2" i="20"/>
  <c r="AU2" i="20"/>
  <c r="AT2" i="20"/>
  <c r="AS2" i="20"/>
  <c r="AR2" i="20"/>
  <c r="AQ2" i="20"/>
  <c r="AP2" i="20"/>
  <c r="AO2" i="20"/>
  <c r="AN2" i="20"/>
  <c r="AM2" i="20"/>
  <c r="AL2" i="20"/>
  <c r="AK2" i="20"/>
  <c r="AJ2" i="20"/>
  <c r="AI2" i="20"/>
  <c r="AH2" i="20"/>
  <c r="G135" i="3"/>
  <c r="AE135" i="3"/>
  <c r="AH135" i="3"/>
  <c r="AK135" i="3"/>
  <c r="AN135" i="3"/>
  <c r="AQ135" i="3"/>
  <c r="AT135" i="3"/>
  <c r="AW135" i="3"/>
  <c r="AZ135" i="3"/>
  <c r="BC135" i="3"/>
  <c r="BF135" i="3"/>
  <c r="BI135" i="3"/>
  <c r="BL135" i="3"/>
  <c r="BO135" i="3"/>
  <c r="G134" i="3"/>
  <c r="AE134" i="3"/>
  <c r="AH134" i="3"/>
  <c r="AK134" i="3"/>
  <c r="AN134" i="3"/>
  <c r="AQ134" i="3"/>
  <c r="AT134" i="3"/>
  <c r="AW134" i="3"/>
  <c r="AZ134" i="3"/>
  <c r="BC134" i="3"/>
  <c r="BF134" i="3"/>
  <c r="BI134" i="3"/>
  <c r="BL134" i="3"/>
  <c r="BO134" i="3"/>
  <c r="G133" i="3"/>
  <c r="AE133" i="3"/>
  <c r="AH133" i="3"/>
  <c r="AK133" i="3"/>
  <c r="AN133" i="3"/>
  <c r="AQ133" i="3"/>
  <c r="AT133" i="3"/>
  <c r="AW133" i="3"/>
  <c r="AZ133" i="3"/>
  <c r="BC133" i="3"/>
  <c r="BF133" i="3"/>
  <c r="BI133" i="3"/>
  <c r="BL133" i="3"/>
  <c r="BO133" i="3"/>
  <c r="G132" i="3"/>
  <c r="AE132" i="3"/>
  <c r="AH132" i="3"/>
  <c r="AK132" i="3"/>
  <c r="AN132" i="3"/>
  <c r="AQ132" i="3"/>
  <c r="AT132" i="3"/>
  <c r="AW132" i="3"/>
  <c r="AZ132" i="3"/>
  <c r="BC132" i="3"/>
  <c r="BF132" i="3"/>
  <c r="BI132" i="3"/>
  <c r="BL132" i="3"/>
  <c r="BO132" i="3"/>
  <c r="G131" i="3"/>
  <c r="AE131" i="3"/>
  <c r="AH131" i="3"/>
  <c r="AK131" i="3"/>
  <c r="AN131" i="3"/>
  <c r="AQ131" i="3"/>
  <c r="AT131" i="3"/>
  <c r="AW131" i="3"/>
  <c r="AZ131" i="3"/>
  <c r="BC131" i="3"/>
  <c r="BF131" i="3"/>
  <c r="BI131" i="3"/>
  <c r="BL131" i="3"/>
  <c r="BO131" i="3"/>
  <c r="G130" i="3"/>
  <c r="AE130" i="3"/>
  <c r="AH130" i="3"/>
  <c r="AK130" i="3"/>
  <c r="AN130" i="3"/>
  <c r="AQ130" i="3"/>
  <c r="AT130" i="3"/>
  <c r="AW130" i="3"/>
  <c r="AZ130" i="3"/>
  <c r="BC130" i="3"/>
  <c r="BF130" i="3"/>
  <c r="BI130" i="3"/>
  <c r="BL130" i="3"/>
  <c r="BO130" i="3"/>
  <c r="G129" i="3"/>
  <c r="D129" i="3" s="1"/>
  <c r="P7" i="4" s="1"/>
  <c r="AE129" i="3"/>
  <c r="AH129" i="3"/>
  <c r="AK129" i="3"/>
  <c r="AN129" i="3"/>
  <c r="AQ129" i="3"/>
  <c r="AT129" i="3"/>
  <c r="AW129" i="3"/>
  <c r="AZ129" i="3"/>
  <c r="BC129" i="3"/>
  <c r="BF129" i="3"/>
  <c r="BI129" i="3"/>
  <c r="BL129" i="3"/>
  <c r="BO129" i="3"/>
  <c r="G128" i="3"/>
  <c r="AE128" i="3"/>
  <c r="AH128" i="3"/>
  <c r="AK128" i="3"/>
  <c r="AN128" i="3"/>
  <c r="AQ128" i="3"/>
  <c r="AT128" i="3"/>
  <c r="AW128" i="3"/>
  <c r="AZ128" i="3"/>
  <c r="BC128" i="3"/>
  <c r="BF128" i="3"/>
  <c r="BI128" i="3"/>
  <c r="BL128" i="3"/>
  <c r="BO128" i="3"/>
  <c r="G127" i="3"/>
  <c r="AE127" i="3"/>
  <c r="AH127" i="3"/>
  <c r="AK127" i="3"/>
  <c r="AN127" i="3"/>
  <c r="AQ127" i="3"/>
  <c r="AT127" i="3"/>
  <c r="AW127" i="3"/>
  <c r="AZ127" i="3"/>
  <c r="BC127" i="3"/>
  <c r="BF127" i="3"/>
  <c r="BI127" i="3"/>
  <c r="BL127" i="3"/>
  <c r="BO127" i="3"/>
  <c r="G126" i="3"/>
  <c r="AE126" i="3"/>
  <c r="AH126" i="3"/>
  <c r="AK126" i="3"/>
  <c r="AN126" i="3"/>
  <c r="AQ126" i="3"/>
  <c r="AT126" i="3"/>
  <c r="AW126" i="3"/>
  <c r="AZ126" i="3"/>
  <c r="BC126" i="3"/>
  <c r="BF126" i="3"/>
  <c r="BI126" i="3"/>
  <c r="BL126" i="3"/>
  <c r="BO126" i="3"/>
  <c r="AD125" i="3"/>
  <c r="AF125" i="3"/>
  <c r="AE125" i="3"/>
  <c r="AI125" i="3"/>
  <c r="AH125" i="3"/>
  <c r="AL125" i="3"/>
  <c r="AM125" i="3"/>
  <c r="AK125" i="3"/>
  <c r="AO125" i="3"/>
  <c r="AP125" i="3" s="1"/>
  <c r="AN125" i="3"/>
  <c r="AR125" i="3"/>
  <c r="AQ125" i="3"/>
  <c r="AU125" i="3"/>
  <c r="AT125" i="3"/>
  <c r="AV125" i="3" s="1"/>
  <c r="AX125" i="3"/>
  <c r="AY125" i="3" s="1"/>
  <c r="AW125" i="3"/>
  <c r="BA125" i="3"/>
  <c r="AZ125" i="3"/>
  <c r="BB125" i="3"/>
  <c r="BD125" i="3"/>
  <c r="BC125" i="3"/>
  <c r="BG125" i="3"/>
  <c r="BH125" i="3"/>
  <c r="BF125" i="3"/>
  <c r="BJ125" i="3"/>
  <c r="BK125" i="3" s="1"/>
  <c r="BI125" i="3"/>
  <c r="BM125" i="3"/>
  <c r="BN125" i="3"/>
  <c r="BL125" i="3"/>
  <c r="BP125" i="3"/>
  <c r="BO125" i="3"/>
  <c r="AF124" i="3"/>
  <c r="AG124" i="3" s="1"/>
  <c r="AE124" i="3"/>
  <c r="AI124" i="3"/>
  <c r="AH124" i="3"/>
  <c r="AJ124" i="3" s="1"/>
  <c r="AL124" i="3"/>
  <c r="AK124" i="3"/>
  <c r="AO124" i="3"/>
  <c r="AP124" i="3" s="1"/>
  <c r="AN124" i="3"/>
  <c r="AR124" i="3"/>
  <c r="AQ124" i="3"/>
  <c r="AU124" i="3"/>
  <c r="AT124" i="3"/>
  <c r="AX124" i="3"/>
  <c r="AY124" i="3" s="1"/>
  <c r="AW124" i="3"/>
  <c r="BA124" i="3"/>
  <c r="BB124" i="3" s="1"/>
  <c r="AZ124" i="3"/>
  <c r="BD124" i="3"/>
  <c r="BE124" i="3" s="1"/>
  <c r="BC124" i="3"/>
  <c r="BG124" i="3"/>
  <c r="BF124" i="3"/>
  <c r="BJ124" i="3"/>
  <c r="BI124" i="3"/>
  <c r="BM124" i="3"/>
  <c r="BL124" i="3"/>
  <c r="BN124" i="3" s="1"/>
  <c r="BP124" i="3"/>
  <c r="BQ124" i="3" s="1"/>
  <c r="BO124" i="3"/>
  <c r="AF123" i="3"/>
  <c r="AE123" i="3"/>
  <c r="AI123" i="3"/>
  <c r="AJ123" i="3" s="1"/>
  <c r="AH123" i="3"/>
  <c r="AL123" i="3"/>
  <c r="AM123" i="3" s="1"/>
  <c r="AK123" i="3"/>
  <c r="AO123" i="3"/>
  <c r="AN123" i="3"/>
  <c r="AR123" i="3"/>
  <c r="AQ123" i="3"/>
  <c r="AU123" i="3"/>
  <c r="AT123" i="3"/>
  <c r="AX123" i="3"/>
  <c r="AW123" i="3"/>
  <c r="BA123" i="3"/>
  <c r="AZ123" i="3"/>
  <c r="BD123" i="3"/>
  <c r="BC123" i="3"/>
  <c r="BE123" i="3" s="1"/>
  <c r="BG123" i="3"/>
  <c r="BF123" i="3"/>
  <c r="BH123" i="3" s="1"/>
  <c r="BJ123" i="3"/>
  <c r="BI123" i="3"/>
  <c r="BM123" i="3"/>
  <c r="BL123" i="3"/>
  <c r="BN123" i="3" s="1"/>
  <c r="BP123" i="3"/>
  <c r="BQ123" i="3" s="1"/>
  <c r="BO123" i="3"/>
  <c r="AF122" i="3"/>
  <c r="AE122" i="3"/>
  <c r="AI122" i="3"/>
  <c r="AH122" i="3"/>
  <c r="AL122" i="3"/>
  <c r="AK122" i="3"/>
  <c r="AM122" i="3" s="1"/>
  <c r="AO122" i="3"/>
  <c r="AN122" i="3"/>
  <c r="AR122" i="3"/>
  <c r="AS122" i="3" s="1"/>
  <c r="AQ122" i="3"/>
  <c r="AU122" i="3"/>
  <c r="AT122" i="3"/>
  <c r="AV122" i="3"/>
  <c r="AX122" i="3"/>
  <c r="AW122" i="3"/>
  <c r="BA122" i="3"/>
  <c r="AZ122" i="3"/>
  <c r="BD122" i="3"/>
  <c r="BE122" i="3" s="1"/>
  <c r="BC122" i="3"/>
  <c r="BG122" i="3"/>
  <c r="BF122" i="3"/>
  <c r="BJ122" i="3"/>
  <c r="BI122" i="3"/>
  <c r="BM122" i="3"/>
  <c r="BL122" i="3"/>
  <c r="BN122" i="3" s="1"/>
  <c r="BP122" i="3"/>
  <c r="BQ122" i="3" s="1"/>
  <c r="BO122" i="3"/>
  <c r="AF121" i="3"/>
  <c r="AE121" i="3"/>
  <c r="AI121" i="3"/>
  <c r="AJ121" i="3" s="1"/>
  <c r="AH121" i="3"/>
  <c r="AL121" i="3"/>
  <c r="AM121" i="3"/>
  <c r="AK121" i="3"/>
  <c r="AO121" i="3"/>
  <c r="AN121" i="3"/>
  <c r="AP121" i="3" s="1"/>
  <c r="AR121" i="3"/>
  <c r="AQ121" i="3"/>
  <c r="AU121" i="3"/>
  <c r="AV121" i="3"/>
  <c r="AT121" i="3"/>
  <c r="AX121" i="3"/>
  <c r="AY121" i="3" s="1"/>
  <c r="AW121" i="3"/>
  <c r="BA121" i="3"/>
  <c r="BB121" i="3"/>
  <c r="AZ121" i="3"/>
  <c r="BD121" i="3"/>
  <c r="BC121" i="3"/>
  <c r="BG121" i="3"/>
  <c r="BF121" i="3"/>
  <c r="BH121" i="3" s="1"/>
  <c r="BJ121" i="3"/>
  <c r="BK121" i="3" s="1"/>
  <c r="BI121" i="3"/>
  <c r="BM121" i="3"/>
  <c r="BL121" i="3"/>
  <c r="BN121" i="3" s="1"/>
  <c r="BP121" i="3"/>
  <c r="BQ121" i="3" s="1"/>
  <c r="BO121" i="3"/>
  <c r="AF120" i="3"/>
  <c r="AG120" i="3" s="1"/>
  <c r="AE120" i="3"/>
  <c r="AI120" i="3"/>
  <c r="AH120" i="3"/>
  <c r="AL120" i="3"/>
  <c r="AK120" i="3"/>
  <c r="AO120" i="3"/>
  <c r="AP120" i="3" s="1"/>
  <c r="AN120" i="3"/>
  <c r="AR120" i="3"/>
  <c r="AS120" i="3" s="1"/>
  <c r="AQ120" i="3"/>
  <c r="AU120" i="3"/>
  <c r="AT120" i="3"/>
  <c r="AV120" i="3" s="1"/>
  <c r="AX120" i="3"/>
  <c r="AW120" i="3"/>
  <c r="BA120" i="3"/>
  <c r="BB120" i="3" s="1"/>
  <c r="AZ120" i="3"/>
  <c r="BD120" i="3"/>
  <c r="BE120" i="3"/>
  <c r="BC120" i="3"/>
  <c r="BG120" i="3"/>
  <c r="BH120" i="3" s="1"/>
  <c r="BF120" i="3"/>
  <c r="BJ120" i="3"/>
  <c r="BI120" i="3"/>
  <c r="BM120" i="3"/>
  <c r="BN120" i="3" s="1"/>
  <c r="BL120" i="3"/>
  <c r="BP120" i="3"/>
  <c r="BO120" i="3"/>
  <c r="AF119" i="3"/>
  <c r="AG119" i="3"/>
  <c r="AE119" i="3"/>
  <c r="AI119" i="3"/>
  <c r="AH119" i="3"/>
  <c r="AL119" i="3"/>
  <c r="AK119" i="3"/>
  <c r="AM119" i="3"/>
  <c r="AO119" i="3"/>
  <c r="AN119" i="3"/>
  <c r="AR119" i="3"/>
  <c r="AS119" i="3"/>
  <c r="AQ119" i="3"/>
  <c r="AU119" i="3"/>
  <c r="AT119" i="3"/>
  <c r="AV119" i="3" s="1"/>
  <c r="AX119" i="3"/>
  <c r="AY119" i="3" s="1"/>
  <c r="AW119" i="3"/>
  <c r="BA119" i="3"/>
  <c r="AZ119" i="3"/>
  <c r="BD119" i="3"/>
  <c r="BC119" i="3"/>
  <c r="BE119" i="3" s="1"/>
  <c r="BG119" i="3"/>
  <c r="BF119" i="3"/>
  <c r="BH119" i="3" s="1"/>
  <c r="BJ119" i="3"/>
  <c r="BI119" i="3"/>
  <c r="BM119" i="3"/>
  <c r="BN119" i="3" s="1"/>
  <c r="BL119" i="3"/>
  <c r="BP119" i="3"/>
  <c r="BO119" i="3"/>
  <c r="AF118" i="3"/>
  <c r="AG118" i="3" s="1"/>
  <c r="AE118" i="3"/>
  <c r="AI118" i="3"/>
  <c r="AJ118" i="3" s="1"/>
  <c r="AH118" i="3"/>
  <c r="AL118" i="3"/>
  <c r="AM118" i="3" s="1"/>
  <c r="AK118" i="3"/>
  <c r="AO118" i="3"/>
  <c r="AN118" i="3"/>
  <c r="AP118" i="3" s="1"/>
  <c r="AR118" i="3"/>
  <c r="AQ118" i="3"/>
  <c r="AU118" i="3"/>
  <c r="AT118" i="3"/>
  <c r="AX118" i="3"/>
  <c r="AW118" i="3"/>
  <c r="AY118" i="3"/>
  <c r="BA118" i="3"/>
  <c r="BB118" i="3" s="1"/>
  <c r="AZ118" i="3"/>
  <c r="BD118" i="3"/>
  <c r="BE118" i="3" s="1"/>
  <c r="BC118" i="3"/>
  <c r="BG118" i="3"/>
  <c r="BF118" i="3"/>
  <c r="BH118" i="3" s="1"/>
  <c r="BJ118" i="3"/>
  <c r="BK118" i="3" s="1"/>
  <c r="BI118" i="3"/>
  <c r="BM118" i="3"/>
  <c r="BL118" i="3"/>
  <c r="BP118" i="3"/>
  <c r="BO118" i="3"/>
  <c r="BQ118" i="3" s="1"/>
  <c r="AD117" i="3"/>
  <c r="AF117" i="3"/>
  <c r="AE117" i="3"/>
  <c r="AG117" i="3"/>
  <c r="AI117" i="3"/>
  <c r="AH117" i="3"/>
  <c r="AL117" i="3"/>
  <c r="AM117" i="3" s="1"/>
  <c r="AK117" i="3"/>
  <c r="AO117" i="3"/>
  <c r="AN117" i="3"/>
  <c r="AR117" i="3"/>
  <c r="AQ117" i="3"/>
  <c r="AS117" i="3"/>
  <c r="AU117" i="3"/>
  <c r="AT117" i="3"/>
  <c r="AX117" i="3"/>
  <c r="AW117" i="3"/>
  <c r="BA117" i="3"/>
  <c r="AZ117" i="3"/>
  <c r="BB117" i="3"/>
  <c r="BD117" i="3"/>
  <c r="BC117" i="3"/>
  <c r="BE117" i="3" s="1"/>
  <c r="BG117" i="3"/>
  <c r="BF117" i="3"/>
  <c r="BH117" i="3" s="1"/>
  <c r="BJ117" i="3"/>
  <c r="BI117" i="3"/>
  <c r="BM117" i="3"/>
  <c r="BL117" i="3"/>
  <c r="BN117" i="3" s="1"/>
  <c r="BP117" i="3"/>
  <c r="BO117" i="3"/>
  <c r="BQ117" i="3" s="1"/>
  <c r="AF116" i="3"/>
  <c r="AE116" i="3"/>
  <c r="AG116" i="3" s="1"/>
  <c r="AI116" i="3"/>
  <c r="AH116" i="3"/>
  <c r="AL116" i="3"/>
  <c r="AK116" i="3"/>
  <c r="AM116" i="3" s="1"/>
  <c r="AO116" i="3"/>
  <c r="AN116" i="3"/>
  <c r="AR116" i="3"/>
  <c r="AQ116" i="3"/>
  <c r="AU116" i="3"/>
  <c r="AT116" i="3"/>
  <c r="AX116" i="3"/>
  <c r="AW116" i="3"/>
  <c r="BA116" i="3"/>
  <c r="BB116" i="3" s="1"/>
  <c r="AZ116" i="3"/>
  <c r="BD116" i="3"/>
  <c r="BE116" i="3" s="1"/>
  <c r="BC116" i="3"/>
  <c r="BG116" i="3"/>
  <c r="BH116" i="3"/>
  <c r="BF116" i="3"/>
  <c r="BJ116" i="3"/>
  <c r="BK116" i="3" s="1"/>
  <c r="BI116" i="3"/>
  <c r="BM116" i="3"/>
  <c r="BN116" i="3" s="1"/>
  <c r="BL116" i="3"/>
  <c r="BP116" i="3"/>
  <c r="BO116" i="3"/>
  <c r="AF115" i="3"/>
  <c r="AI115" i="3"/>
  <c r="AL115" i="3"/>
  <c r="AM115" i="3" s="1"/>
  <c r="AO115" i="3"/>
  <c r="AR115" i="3"/>
  <c r="AS115" i="3" s="1"/>
  <c r="AU115" i="3"/>
  <c r="AV115" i="3" s="1"/>
  <c r="AX115" i="3"/>
  <c r="BA115" i="3"/>
  <c r="BB115" i="3" s="1"/>
  <c r="BD115" i="3"/>
  <c r="BG115" i="3"/>
  <c r="BH115" i="3" s="1"/>
  <c r="BJ115" i="3"/>
  <c r="BM115" i="3"/>
  <c r="BP115" i="3"/>
  <c r="BQ115" i="3" s="1"/>
  <c r="AE115" i="3"/>
  <c r="AH115" i="3"/>
  <c r="AK115" i="3"/>
  <c r="AN115" i="3"/>
  <c r="AQ115" i="3"/>
  <c r="AT115" i="3"/>
  <c r="AW115" i="3"/>
  <c r="AY115" i="3" s="1"/>
  <c r="AZ115" i="3"/>
  <c r="BC115" i="3"/>
  <c r="BF115" i="3"/>
  <c r="BI115" i="3"/>
  <c r="BL115" i="3"/>
  <c r="BO115" i="3"/>
  <c r="AF114" i="3"/>
  <c r="AI114" i="3"/>
  <c r="AJ114" i="3" s="1"/>
  <c r="AL114" i="3"/>
  <c r="AM114" i="3" s="1"/>
  <c r="AO114" i="3"/>
  <c r="AR114" i="3"/>
  <c r="AU114" i="3"/>
  <c r="AX114" i="3"/>
  <c r="AY114" i="3" s="1"/>
  <c r="BA114" i="3"/>
  <c r="BD114" i="3"/>
  <c r="BE114" i="3" s="1"/>
  <c r="BG114" i="3"/>
  <c r="BJ114" i="3"/>
  <c r="BM114" i="3"/>
  <c r="BP114" i="3"/>
  <c r="BQ114" i="3" s="1"/>
  <c r="AE114" i="3"/>
  <c r="AH114" i="3"/>
  <c r="AK114" i="3"/>
  <c r="AN114" i="3"/>
  <c r="AQ114" i="3"/>
  <c r="AT114" i="3"/>
  <c r="AW114" i="3"/>
  <c r="AZ114" i="3"/>
  <c r="BC114" i="3"/>
  <c r="BF114" i="3"/>
  <c r="BI114" i="3"/>
  <c r="BL114" i="3"/>
  <c r="BO114" i="3"/>
  <c r="AF113" i="3"/>
  <c r="AI113" i="3"/>
  <c r="AJ113" i="3" s="1"/>
  <c r="AL113" i="3"/>
  <c r="AO113" i="3"/>
  <c r="AP113" i="3" s="1"/>
  <c r="AR113" i="3"/>
  <c r="AU113" i="3"/>
  <c r="AX113" i="3"/>
  <c r="BA113" i="3"/>
  <c r="BB113" i="3" s="1"/>
  <c r="BD113" i="3"/>
  <c r="BE113" i="3" s="1"/>
  <c r="BG113" i="3"/>
  <c r="BJ113" i="3"/>
  <c r="BM113" i="3"/>
  <c r="BP113" i="3"/>
  <c r="AE113" i="3"/>
  <c r="AH113" i="3"/>
  <c r="AK113" i="3"/>
  <c r="AN113" i="3"/>
  <c r="AQ113" i="3"/>
  <c r="AS113" i="3" s="1"/>
  <c r="AT113" i="3"/>
  <c r="AW113" i="3"/>
  <c r="AZ113" i="3"/>
  <c r="BC113" i="3"/>
  <c r="BF113" i="3"/>
  <c r="BI113" i="3"/>
  <c r="BK113" i="3" s="1"/>
  <c r="BL113" i="3"/>
  <c r="BO113" i="3"/>
  <c r="AF112" i="3"/>
  <c r="AI112" i="3"/>
  <c r="AL112" i="3"/>
  <c r="AO112" i="3"/>
  <c r="AR112" i="3"/>
  <c r="AS112" i="3" s="1"/>
  <c r="AU112" i="3"/>
  <c r="AV112" i="3" s="1"/>
  <c r="AX112" i="3"/>
  <c r="AY112" i="3" s="1"/>
  <c r="BA112" i="3"/>
  <c r="BB112" i="3" s="1"/>
  <c r="BD112" i="3"/>
  <c r="BG112" i="3"/>
  <c r="BH112" i="3" s="1"/>
  <c r="BJ112" i="3"/>
  <c r="BM112" i="3"/>
  <c r="BN112" i="3" s="1"/>
  <c r="BP112" i="3"/>
  <c r="AE112" i="3"/>
  <c r="AH112" i="3"/>
  <c r="AK112" i="3"/>
  <c r="AN112" i="3"/>
  <c r="AP112" i="3" s="1"/>
  <c r="AQ112" i="3"/>
  <c r="AT112" i="3"/>
  <c r="AW112" i="3"/>
  <c r="AZ112" i="3"/>
  <c r="BC112" i="3"/>
  <c r="BE112" i="3" s="1"/>
  <c r="BF112" i="3"/>
  <c r="BI112" i="3"/>
  <c r="BK112" i="3" s="1"/>
  <c r="BL112" i="3"/>
  <c r="BO112" i="3"/>
  <c r="AF111" i="3"/>
  <c r="AI111" i="3"/>
  <c r="AJ111" i="3" s="1"/>
  <c r="AL111" i="3"/>
  <c r="AO111" i="3"/>
  <c r="AP111" i="3" s="1"/>
  <c r="AR111" i="3"/>
  <c r="AU111" i="3"/>
  <c r="AX111" i="3"/>
  <c r="BA111" i="3"/>
  <c r="BD111" i="3"/>
  <c r="BG111" i="3"/>
  <c r="BJ111" i="3"/>
  <c r="BK111" i="3" s="1"/>
  <c r="BM111" i="3"/>
  <c r="BN111" i="3" s="1"/>
  <c r="BP111" i="3"/>
  <c r="AE111" i="3"/>
  <c r="AG111" i="3" s="1"/>
  <c r="AH111" i="3"/>
  <c r="AK111" i="3"/>
  <c r="AN111" i="3"/>
  <c r="AQ111" i="3"/>
  <c r="AS111" i="3" s="1"/>
  <c r="AT111" i="3"/>
  <c r="AV111" i="3" s="1"/>
  <c r="AW111" i="3"/>
  <c r="AZ111" i="3"/>
  <c r="BC111" i="3"/>
  <c r="BF111" i="3"/>
  <c r="BI111" i="3"/>
  <c r="BL111" i="3"/>
  <c r="BO111" i="3"/>
  <c r="AF110" i="3"/>
  <c r="AG110" i="3" s="1"/>
  <c r="AI110" i="3"/>
  <c r="AJ110" i="3" s="1"/>
  <c r="AL110" i="3"/>
  <c r="AM110" i="3" s="1"/>
  <c r="AO110" i="3"/>
  <c r="AP110" i="3" s="1"/>
  <c r="AR110" i="3"/>
  <c r="AU110" i="3"/>
  <c r="AV110" i="3" s="1"/>
  <c r="AX110" i="3"/>
  <c r="BA110" i="3"/>
  <c r="BB110" i="3" s="1"/>
  <c r="BD110" i="3"/>
  <c r="BG110" i="3"/>
  <c r="BJ110" i="3"/>
  <c r="BM110" i="3"/>
  <c r="BP110" i="3"/>
  <c r="AE110" i="3"/>
  <c r="AH110" i="3"/>
  <c r="AK110" i="3"/>
  <c r="AN110" i="3"/>
  <c r="AQ110" i="3"/>
  <c r="AT110" i="3"/>
  <c r="AW110" i="3"/>
  <c r="AZ110" i="3"/>
  <c r="BC110" i="3"/>
  <c r="BF110" i="3"/>
  <c r="BI110" i="3"/>
  <c r="BK110" i="3" s="1"/>
  <c r="BL110" i="3"/>
  <c r="BO110" i="3"/>
  <c r="BQ110" i="3" s="1"/>
  <c r="AF109" i="3"/>
  <c r="AI109" i="3"/>
  <c r="AL109" i="3"/>
  <c r="AO109" i="3"/>
  <c r="AR109" i="3"/>
  <c r="AU109" i="3"/>
  <c r="AX109" i="3"/>
  <c r="AY109" i="3" s="1"/>
  <c r="BA109" i="3"/>
  <c r="BB109" i="3" s="1"/>
  <c r="BD109" i="3"/>
  <c r="BE109" i="3" s="1"/>
  <c r="BG109" i="3"/>
  <c r="BH109" i="3" s="1"/>
  <c r="BJ109" i="3"/>
  <c r="BM109" i="3"/>
  <c r="BP109" i="3"/>
  <c r="AE109" i="3"/>
  <c r="AH109" i="3"/>
  <c r="AJ109" i="3" s="1"/>
  <c r="AK109" i="3"/>
  <c r="AN109" i="3"/>
  <c r="AQ109" i="3"/>
  <c r="AT109" i="3"/>
  <c r="AW109" i="3"/>
  <c r="AZ109" i="3"/>
  <c r="BC109" i="3"/>
  <c r="BF109" i="3"/>
  <c r="BI109" i="3"/>
  <c r="BL109" i="3"/>
  <c r="BO109" i="3"/>
  <c r="AF108" i="3"/>
  <c r="AI108" i="3"/>
  <c r="AJ108" i="3" s="1"/>
  <c r="AL108" i="3"/>
  <c r="AO108" i="3"/>
  <c r="AP108" i="3" s="1"/>
  <c r="AR108" i="3"/>
  <c r="AU108" i="3"/>
  <c r="AX108" i="3"/>
  <c r="BA108" i="3"/>
  <c r="BD108" i="3"/>
  <c r="BG108" i="3"/>
  <c r="BJ108" i="3"/>
  <c r="BM108" i="3"/>
  <c r="BP108" i="3"/>
  <c r="BQ108" i="3" s="1"/>
  <c r="AE108" i="3"/>
  <c r="AH108" i="3"/>
  <c r="AK108" i="3"/>
  <c r="AM108" i="3" s="1"/>
  <c r="AN108" i="3"/>
  <c r="AQ108" i="3"/>
  <c r="AT108" i="3"/>
  <c r="AW108" i="3"/>
  <c r="AZ108" i="3"/>
  <c r="BC108" i="3"/>
  <c r="BF108" i="3"/>
  <c r="BI108" i="3"/>
  <c r="BL108" i="3"/>
  <c r="BO108" i="3"/>
  <c r="AF107" i="3"/>
  <c r="AG107" i="3" s="1"/>
  <c r="AI107" i="3"/>
  <c r="AL107" i="3"/>
  <c r="AM107" i="3" s="1"/>
  <c r="AO107" i="3"/>
  <c r="AP107" i="3" s="1"/>
  <c r="AR107" i="3"/>
  <c r="AU107" i="3"/>
  <c r="AV107" i="3" s="1"/>
  <c r="AX107" i="3"/>
  <c r="BA107" i="3"/>
  <c r="BB107" i="3" s="1"/>
  <c r="BD107" i="3"/>
  <c r="BG107" i="3"/>
  <c r="BH107" i="3" s="1"/>
  <c r="BJ107" i="3"/>
  <c r="BM107" i="3"/>
  <c r="BP107" i="3"/>
  <c r="AE107" i="3"/>
  <c r="AH107" i="3"/>
  <c r="AK107" i="3"/>
  <c r="AN107" i="3"/>
  <c r="AQ107" i="3"/>
  <c r="AT107" i="3"/>
  <c r="AW107" i="3"/>
  <c r="AY107" i="3" s="1"/>
  <c r="AZ107" i="3"/>
  <c r="BC107" i="3"/>
  <c r="BF107" i="3"/>
  <c r="BI107" i="3"/>
  <c r="BL107" i="3"/>
  <c r="BO107" i="3"/>
  <c r="AF106" i="3"/>
  <c r="AI106" i="3"/>
  <c r="AL106" i="3"/>
  <c r="AO106" i="3"/>
  <c r="AR106" i="3"/>
  <c r="AU106" i="3"/>
  <c r="AX106" i="3"/>
  <c r="AY106" i="3" s="1"/>
  <c r="BA106" i="3"/>
  <c r="BD106" i="3"/>
  <c r="BE106" i="3" s="1"/>
  <c r="BG106" i="3"/>
  <c r="BH106" i="3" s="1"/>
  <c r="BJ106" i="3"/>
  <c r="BK106" i="3" s="1"/>
  <c r="BM106" i="3"/>
  <c r="BN106" i="3" s="1"/>
  <c r="BP106" i="3"/>
  <c r="AE106" i="3"/>
  <c r="AH106" i="3"/>
  <c r="AK106" i="3"/>
  <c r="AN106" i="3"/>
  <c r="AQ106" i="3"/>
  <c r="AT106" i="3"/>
  <c r="AW106" i="3"/>
  <c r="AZ106" i="3"/>
  <c r="BC106" i="3"/>
  <c r="BF106" i="3"/>
  <c r="BI106" i="3"/>
  <c r="BL106" i="3"/>
  <c r="BO106" i="3"/>
  <c r="BQ106" i="3" s="1"/>
  <c r="D105" i="3"/>
  <c r="D104" i="3"/>
  <c r="D103" i="3"/>
  <c r="D102" i="3"/>
  <c r="D101" i="3"/>
  <c r="D100" i="3"/>
  <c r="D99" i="3"/>
  <c r="D98" i="3"/>
  <c r="D97" i="3"/>
  <c r="D96" i="3"/>
  <c r="H95" i="3"/>
  <c r="G95" i="3"/>
  <c r="I95" i="3" s="1"/>
  <c r="K95" i="3"/>
  <c r="J95" i="3"/>
  <c r="N95" i="3"/>
  <c r="M95" i="3"/>
  <c r="Q95" i="3"/>
  <c r="R95" i="3" s="1"/>
  <c r="P95" i="3"/>
  <c r="T95" i="3"/>
  <c r="S95" i="3"/>
  <c r="W95" i="3"/>
  <c r="V95" i="3"/>
  <c r="Z95" i="3"/>
  <c r="Y95" i="3"/>
  <c r="AC95" i="3"/>
  <c r="AB95" i="3"/>
  <c r="AF95" i="3"/>
  <c r="AE95" i="3"/>
  <c r="AI95" i="3"/>
  <c r="AH95" i="3"/>
  <c r="AL95" i="3"/>
  <c r="AK95" i="3"/>
  <c r="AM95" i="3" s="1"/>
  <c r="AO95" i="3"/>
  <c r="AN95" i="3"/>
  <c r="AP95" i="3"/>
  <c r="AR95" i="3"/>
  <c r="AQ95" i="3"/>
  <c r="AS95" i="3" s="1"/>
  <c r="AU95" i="3"/>
  <c r="AV95" i="3" s="1"/>
  <c r="AT95" i="3"/>
  <c r="AX95" i="3"/>
  <c r="AW95" i="3"/>
  <c r="BA95" i="3"/>
  <c r="AZ95" i="3"/>
  <c r="BD95" i="3"/>
  <c r="BC95" i="3"/>
  <c r="BG95" i="3"/>
  <c r="BF95" i="3"/>
  <c r="BJ95" i="3"/>
  <c r="BK95" i="3" s="1"/>
  <c r="BI95" i="3"/>
  <c r="BM95" i="3"/>
  <c r="BN95" i="3" s="1"/>
  <c r="BL95" i="3"/>
  <c r="BP95" i="3"/>
  <c r="BQ95" i="3" s="1"/>
  <c r="BO95" i="3"/>
  <c r="H94" i="3"/>
  <c r="G94" i="3"/>
  <c r="K94" i="3"/>
  <c r="J94" i="3"/>
  <c r="N94" i="3"/>
  <c r="M94" i="3"/>
  <c r="Q94" i="3"/>
  <c r="R94" i="3" s="1"/>
  <c r="P94" i="3"/>
  <c r="T94" i="3"/>
  <c r="U94" i="3" s="1"/>
  <c r="S94" i="3"/>
  <c r="W94" i="3"/>
  <c r="V94" i="3"/>
  <c r="X94" i="3"/>
  <c r="Z94" i="3"/>
  <c r="Y94" i="3"/>
  <c r="AA94" i="3"/>
  <c r="AC94" i="3"/>
  <c r="AD94" i="3" s="1"/>
  <c r="AB94" i="3"/>
  <c r="AF94" i="3"/>
  <c r="AE94" i="3"/>
  <c r="AI94" i="3"/>
  <c r="AH94" i="3"/>
  <c r="AJ94" i="3" s="1"/>
  <c r="AL94" i="3"/>
  <c r="AK94" i="3"/>
  <c r="AM94" i="3" s="1"/>
  <c r="AO94" i="3"/>
  <c r="AP94" i="3"/>
  <c r="AN94" i="3"/>
  <c r="AR94" i="3"/>
  <c r="AQ94" i="3"/>
  <c r="AU94" i="3"/>
  <c r="AT94" i="3"/>
  <c r="AX94" i="3"/>
  <c r="AY94" i="3" s="1"/>
  <c r="AW94" i="3"/>
  <c r="BA94" i="3"/>
  <c r="AZ94" i="3"/>
  <c r="BD94" i="3"/>
  <c r="BE94" i="3" s="1"/>
  <c r="BC94" i="3"/>
  <c r="BG94" i="3"/>
  <c r="BH94" i="3" s="1"/>
  <c r="BF94" i="3"/>
  <c r="BJ94" i="3"/>
  <c r="BK94" i="3" s="1"/>
  <c r="BI94" i="3"/>
  <c r="BM94" i="3"/>
  <c r="BL94" i="3"/>
  <c r="BP94" i="3"/>
  <c r="BO94" i="3"/>
  <c r="H93" i="3"/>
  <c r="G93" i="3"/>
  <c r="K93" i="3"/>
  <c r="J93" i="3"/>
  <c r="N93" i="3"/>
  <c r="M93" i="3"/>
  <c r="Q93" i="3"/>
  <c r="R93" i="3" s="1"/>
  <c r="P93" i="3"/>
  <c r="T93" i="3"/>
  <c r="S93" i="3"/>
  <c r="W93" i="3"/>
  <c r="V93" i="3"/>
  <c r="Z93" i="3"/>
  <c r="Y93" i="3"/>
  <c r="AC93" i="3"/>
  <c r="AB93" i="3"/>
  <c r="AF93" i="3"/>
  <c r="AE93" i="3"/>
  <c r="AI93" i="3"/>
  <c r="AH93" i="3"/>
  <c r="AJ93" i="3" s="1"/>
  <c r="AL93" i="3"/>
  <c r="AK93" i="3"/>
  <c r="AO93" i="3"/>
  <c r="AN93" i="3"/>
  <c r="AR93" i="3"/>
  <c r="AS93" i="3" s="1"/>
  <c r="AQ93" i="3"/>
  <c r="AU93" i="3"/>
  <c r="AT93" i="3"/>
  <c r="AV93" i="3" s="1"/>
  <c r="AX93" i="3"/>
  <c r="AW93" i="3"/>
  <c r="AY93" i="3" s="1"/>
  <c r="BA93" i="3"/>
  <c r="AZ93" i="3"/>
  <c r="BD93" i="3"/>
  <c r="BC93" i="3"/>
  <c r="BE93" i="3"/>
  <c r="BG93" i="3"/>
  <c r="BH93" i="3" s="1"/>
  <c r="BF93" i="3"/>
  <c r="BJ93" i="3"/>
  <c r="BI93" i="3"/>
  <c r="BM93" i="3"/>
  <c r="BL93" i="3"/>
  <c r="BN93" i="3"/>
  <c r="BP93" i="3"/>
  <c r="BO93" i="3"/>
  <c r="H92" i="3"/>
  <c r="D10" i="14" s="1"/>
  <c r="G92" i="3"/>
  <c r="K92" i="3"/>
  <c r="J92" i="3"/>
  <c r="N92" i="3"/>
  <c r="M92" i="3"/>
  <c r="O92" i="3" s="1"/>
  <c r="Q92" i="3"/>
  <c r="R92" i="3" s="1"/>
  <c r="P92" i="3"/>
  <c r="T92" i="3"/>
  <c r="S92" i="3"/>
  <c r="W92" i="3"/>
  <c r="V92" i="3"/>
  <c r="Z92" i="3"/>
  <c r="Y92" i="3"/>
  <c r="AC92" i="3"/>
  <c r="AD92" i="3" s="1"/>
  <c r="AB92" i="3"/>
  <c r="AF92" i="3"/>
  <c r="AE92" i="3"/>
  <c r="AI92" i="3"/>
  <c r="AH92" i="3"/>
  <c r="AJ92" i="3" s="1"/>
  <c r="AL92" i="3"/>
  <c r="AK92" i="3"/>
  <c r="AO92" i="3"/>
  <c r="AN92" i="3"/>
  <c r="AR92" i="3"/>
  <c r="AS92" i="3" s="1"/>
  <c r="AQ92" i="3"/>
  <c r="AU92" i="3"/>
  <c r="AT92" i="3"/>
  <c r="AX92" i="3"/>
  <c r="AW92" i="3"/>
  <c r="BA92" i="3"/>
  <c r="AZ92" i="3"/>
  <c r="BD92" i="3"/>
  <c r="BC92" i="3"/>
  <c r="BG92" i="3"/>
  <c r="BF92" i="3"/>
  <c r="BH92" i="3" s="1"/>
  <c r="BJ92" i="3"/>
  <c r="D45" i="14" s="1"/>
  <c r="BI92" i="3"/>
  <c r="BM92" i="3"/>
  <c r="BL92" i="3"/>
  <c r="BP92" i="3"/>
  <c r="BO92" i="3"/>
  <c r="BQ92" i="3"/>
  <c r="H91" i="3"/>
  <c r="G91" i="3"/>
  <c r="K91" i="3"/>
  <c r="J91" i="3"/>
  <c r="N91" i="3"/>
  <c r="O91" i="3" s="1"/>
  <c r="M91" i="3"/>
  <c r="Q91" i="3"/>
  <c r="P91" i="3"/>
  <c r="T91" i="3"/>
  <c r="S91" i="3"/>
  <c r="W91" i="3"/>
  <c r="X91" i="3" s="1"/>
  <c r="V91" i="3"/>
  <c r="Z91" i="3"/>
  <c r="Y91" i="3"/>
  <c r="AC91" i="3"/>
  <c r="AD91" i="3" s="1"/>
  <c r="AB91" i="3"/>
  <c r="AF91" i="3"/>
  <c r="AE91" i="3"/>
  <c r="AI91" i="3"/>
  <c r="AH91" i="3"/>
  <c r="AJ91" i="3" s="1"/>
  <c r="AL91" i="3"/>
  <c r="AK91" i="3"/>
  <c r="AO91" i="3"/>
  <c r="AN91" i="3"/>
  <c r="AP91" i="3" s="1"/>
  <c r="AR91" i="3"/>
  <c r="AQ91" i="3"/>
  <c r="AU91" i="3"/>
  <c r="AV91" i="3" s="1"/>
  <c r="AT91" i="3"/>
  <c r="AX91" i="3"/>
  <c r="AY91" i="3" s="1"/>
  <c r="AW91" i="3"/>
  <c r="BA91" i="3"/>
  <c r="AZ91" i="3"/>
  <c r="BD91" i="3"/>
  <c r="BC91" i="3"/>
  <c r="BG91" i="3"/>
  <c r="BF91" i="3"/>
  <c r="BH91" i="3"/>
  <c r="BJ91" i="3"/>
  <c r="BK91" i="3" s="1"/>
  <c r="BI91" i="3"/>
  <c r="BM91" i="3"/>
  <c r="BL91" i="3"/>
  <c r="BP91" i="3"/>
  <c r="D114" i="14" s="1"/>
  <c r="BO91" i="3"/>
  <c r="H90" i="3"/>
  <c r="G90" i="3"/>
  <c r="K90" i="3"/>
  <c r="J90" i="3"/>
  <c r="N90" i="3"/>
  <c r="M90" i="3"/>
  <c r="Q90" i="3"/>
  <c r="P90" i="3"/>
  <c r="T90" i="3"/>
  <c r="U90" i="3"/>
  <c r="S90" i="3"/>
  <c r="W90" i="3"/>
  <c r="V90" i="3"/>
  <c r="Z90" i="3"/>
  <c r="Y90" i="3"/>
  <c r="AC90" i="3"/>
  <c r="AB90" i="3"/>
  <c r="AF90" i="3"/>
  <c r="AG90" i="3" s="1"/>
  <c r="AE90" i="3"/>
  <c r="AI90" i="3"/>
  <c r="AH90" i="3"/>
  <c r="AJ90" i="3" s="1"/>
  <c r="AL90" i="3"/>
  <c r="AM90" i="3"/>
  <c r="AK90" i="3"/>
  <c r="AO90" i="3"/>
  <c r="AN90" i="3"/>
  <c r="AR90" i="3"/>
  <c r="AQ90" i="3"/>
  <c r="AU90" i="3"/>
  <c r="AT90" i="3"/>
  <c r="AV90" i="3" s="1"/>
  <c r="AX90" i="3"/>
  <c r="AW90" i="3"/>
  <c r="BA90" i="3"/>
  <c r="AZ90" i="3"/>
  <c r="BD90" i="3"/>
  <c r="BC90" i="3"/>
  <c r="BE90" i="3" s="1"/>
  <c r="BG90" i="3"/>
  <c r="BH90" i="3" s="1"/>
  <c r="BF90" i="3"/>
  <c r="BJ90" i="3"/>
  <c r="BK90" i="3" s="1"/>
  <c r="BI90" i="3"/>
  <c r="BM90" i="3"/>
  <c r="BL90" i="3"/>
  <c r="BP90" i="3"/>
  <c r="BQ90" i="3" s="1"/>
  <c r="BO90" i="3"/>
  <c r="H89" i="3"/>
  <c r="G89" i="3"/>
  <c r="K89" i="3"/>
  <c r="J89" i="3"/>
  <c r="N89" i="3"/>
  <c r="O89" i="3" s="1"/>
  <c r="M89" i="3"/>
  <c r="Q89" i="3"/>
  <c r="R89" i="3" s="1"/>
  <c r="P89" i="3"/>
  <c r="T89" i="3"/>
  <c r="S89" i="3"/>
  <c r="W89" i="3"/>
  <c r="V89" i="3"/>
  <c r="X89" i="3" s="1"/>
  <c r="Z89" i="3"/>
  <c r="AA89" i="3" s="1"/>
  <c r="Y89" i="3"/>
  <c r="AC89" i="3"/>
  <c r="AD89" i="3" s="1"/>
  <c r="AB89" i="3"/>
  <c r="AF89" i="3"/>
  <c r="AE89" i="3"/>
  <c r="AG89" i="3" s="1"/>
  <c r="AI89" i="3"/>
  <c r="AJ89" i="3" s="1"/>
  <c r="AH89" i="3"/>
  <c r="AL89" i="3"/>
  <c r="AK89" i="3"/>
  <c r="AM89" i="3"/>
  <c r="AO89" i="3"/>
  <c r="AN89" i="3"/>
  <c r="AR89" i="3"/>
  <c r="AQ89" i="3"/>
  <c r="AS89" i="3" s="1"/>
  <c r="AU89" i="3"/>
  <c r="AT89" i="3"/>
  <c r="AV89" i="3"/>
  <c r="AX89" i="3"/>
  <c r="AY89" i="3" s="1"/>
  <c r="AW89" i="3"/>
  <c r="BA89" i="3"/>
  <c r="AZ89" i="3"/>
  <c r="BD89" i="3"/>
  <c r="BC89" i="3"/>
  <c r="BG89" i="3"/>
  <c r="BF89" i="3"/>
  <c r="BJ89" i="3"/>
  <c r="BI89" i="3"/>
  <c r="BM89" i="3"/>
  <c r="BN89" i="3"/>
  <c r="BL89" i="3"/>
  <c r="BP89" i="3"/>
  <c r="BO89" i="3"/>
  <c r="BQ89" i="3" s="1"/>
  <c r="H88" i="3"/>
  <c r="G88" i="3"/>
  <c r="K88" i="3"/>
  <c r="J88" i="3"/>
  <c r="N88" i="3"/>
  <c r="M88" i="3"/>
  <c r="O88" i="3" s="1"/>
  <c r="Q88" i="3"/>
  <c r="R88" i="3" s="1"/>
  <c r="P88" i="3"/>
  <c r="T88" i="3"/>
  <c r="S88" i="3"/>
  <c r="U88" i="3"/>
  <c r="W88" i="3"/>
  <c r="V88" i="3"/>
  <c r="Z88" i="3"/>
  <c r="AA88" i="3"/>
  <c r="Y88" i="3"/>
  <c r="AC88" i="3"/>
  <c r="AB88" i="3"/>
  <c r="AD88" i="3" s="1"/>
  <c r="AF88" i="3"/>
  <c r="AE88" i="3"/>
  <c r="AG88" i="3" s="1"/>
  <c r="AI88" i="3"/>
  <c r="AH88" i="3"/>
  <c r="AL88" i="3"/>
  <c r="AK88" i="3"/>
  <c r="AM88" i="3" s="1"/>
  <c r="AO88" i="3"/>
  <c r="AN88" i="3"/>
  <c r="AR88" i="3"/>
  <c r="AQ88" i="3"/>
  <c r="AS88" i="3" s="1"/>
  <c r="AU88" i="3"/>
  <c r="AT88" i="3"/>
  <c r="AV88" i="3" s="1"/>
  <c r="AX88" i="3"/>
  <c r="AW88" i="3"/>
  <c r="BA88" i="3"/>
  <c r="AZ88" i="3"/>
  <c r="BD88" i="3"/>
  <c r="BC88" i="3"/>
  <c r="BG88" i="3"/>
  <c r="BH88" i="3" s="1"/>
  <c r="BF88" i="3"/>
  <c r="BJ88" i="3"/>
  <c r="BK88" i="3" s="1"/>
  <c r="BI88" i="3"/>
  <c r="BM88" i="3"/>
  <c r="D76" i="14" s="1"/>
  <c r="BL88" i="3"/>
  <c r="BP88" i="3"/>
  <c r="BO88" i="3"/>
  <c r="BQ88" i="3"/>
  <c r="H87" i="3"/>
  <c r="G87" i="3"/>
  <c r="K87" i="3"/>
  <c r="J87" i="3"/>
  <c r="N87" i="3"/>
  <c r="M87" i="3"/>
  <c r="Q87" i="3"/>
  <c r="P87" i="3"/>
  <c r="T87" i="3"/>
  <c r="S87" i="3"/>
  <c r="U87" i="3" s="1"/>
  <c r="W87" i="3"/>
  <c r="X87" i="3" s="1"/>
  <c r="V87" i="3"/>
  <c r="Z87" i="3"/>
  <c r="Y87" i="3"/>
  <c r="AC87" i="3"/>
  <c r="AB87" i="3"/>
  <c r="AF87" i="3"/>
  <c r="AE87" i="3"/>
  <c r="AI87" i="3"/>
  <c r="AH87" i="3"/>
  <c r="AJ87" i="3"/>
  <c r="AL87" i="3"/>
  <c r="AK87" i="3"/>
  <c r="AM87" i="3" s="1"/>
  <c r="AO87" i="3"/>
  <c r="AN87" i="3"/>
  <c r="AP87" i="3" s="1"/>
  <c r="AR87" i="3"/>
  <c r="AQ87" i="3"/>
  <c r="AU87" i="3"/>
  <c r="AV87" i="3" s="1"/>
  <c r="AT87" i="3"/>
  <c r="AX87" i="3"/>
  <c r="AY87" i="3" s="1"/>
  <c r="AW87" i="3"/>
  <c r="BA87" i="3"/>
  <c r="AZ87" i="3"/>
  <c r="BD87" i="3"/>
  <c r="BC87" i="3"/>
  <c r="BG87" i="3"/>
  <c r="BF87" i="3"/>
  <c r="BJ87" i="3"/>
  <c r="BK87" i="3" s="1"/>
  <c r="BI87" i="3"/>
  <c r="BM87" i="3"/>
  <c r="BL87" i="3"/>
  <c r="BP87" i="3"/>
  <c r="BO87" i="3"/>
  <c r="BQ87" i="3" s="1"/>
  <c r="H86" i="3"/>
  <c r="G86" i="3"/>
  <c r="K86" i="3"/>
  <c r="J86" i="3"/>
  <c r="N86" i="3"/>
  <c r="O86" i="3"/>
  <c r="M86" i="3"/>
  <c r="Q86" i="3"/>
  <c r="P86" i="3"/>
  <c r="T86" i="3"/>
  <c r="U86" i="3"/>
  <c r="S86" i="3"/>
  <c r="W86" i="3"/>
  <c r="V86" i="3"/>
  <c r="Z86" i="3"/>
  <c r="Y86" i="3"/>
  <c r="AA86" i="3" s="1"/>
  <c r="AC86" i="3"/>
  <c r="AB86" i="3"/>
  <c r="AF86" i="3"/>
  <c r="AG86" i="3" s="1"/>
  <c r="AE86" i="3"/>
  <c r="AI86" i="3"/>
  <c r="AH86" i="3"/>
  <c r="AL86" i="3"/>
  <c r="AM86" i="3" s="1"/>
  <c r="AK86" i="3"/>
  <c r="AO86" i="3"/>
  <c r="AN86" i="3"/>
  <c r="AP86" i="3" s="1"/>
  <c r="AR86" i="3"/>
  <c r="AQ86" i="3"/>
  <c r="AU86" i="3"/>
  <c r="AT86" i="3"/>
  <c r="AX86" i="3"/>
  <c r="AY86" i="3" s="1"/>
  <c r="AW86" i="3"/>
  <c r="BA86" i="3"/>
  <c r="AZ86" i="3"/>
  <c r="BD86" i="3"/>
  <c r="BE86" i="3" s="1"/>
  <c r="BC86" i="3"/>
  <c r="BG86" i="3"/>
  <c r="BH86" i="3" s="1"/>
  <c r="BF86" i="3"/>
  <c r="BJ86" i="3"/>
  <c r="BI86" i="3"/>
  <c r="BM86" i="3"/>
  <c r="BL86" i="3"/>
  <c r="BP86" i="3"/>
  <c r="BQ86" i="3"/>
  <c r="BO86" i="3"/>
  <c r="G85" i="3"/>
  <c r="G75" i="3"/>
  <c r="J75" i="3"/>
  <c r="M75" i="3"/>
  <c r="P75" i="3"/>
  <c r="S75" i="3"/>
  <c r="V75" i="3"/>
  <c r="Y75" i="3"/>
  <c r="AB75" i="3"/>
  <c r="AE75" i="3"/>
  <c r="AH75" i="3"/>
  <c r="AK75" i="3"/>
  <c r="AN75" i="3"/>
  <c r="AQ75" i="3"/>
  <c r="AT75" i="3"/>
  <c r="AW75" i="3"/>
  <c r="AZ75" i="3"/>
  <c r="BC75" i="3"/>
  <c r="BF75" i="3"/>
  <c r="BI75" i="3"/>
  <c r="BL75" i="3"/>
  <c r="BO75" i="3"/>
  <c r="G74" i="3"/>
  <c r="J74" i="3"/>
  <c r="M74" i="3"/>
  <c r="P74" i="3"/>
  <c r="S74" i="3"/>
  <c r="V74" i="3"/>
  <c r="Y74" i="3"/>
  <c r="AB74" i="3"/>
  <c r="AE74" i="3"/>
  <c r="AH74" i="3"/>
  <c r="AK74" i="3"/>
  <c r="AN74" i="3"/>
  <c r="AQ74" i="3"/>
  <c r="AT74" i="3"/>
  <c r="AW74" i="3"/>
  <c r="AZ74" i="3"/>
  <c r="BC74" i="3"/>
  <c r="BF74" i="3"/>
  <c r="BI74" i="3"/>
  <c r="BL74" i="3"/>
  <c r="BO74" i="3"/>
  <c r="G73" i="3"/>
  <c r="J73" i="3"/>
  <c r="M73" i="3"/>
  <c r="P73" i="3"/>
  <c r="S73" i="3"/>
  <c r="V73" i="3"/>
  <c r="Y73" i="3"/>
  <c r="AB73" i="3"/>
  <c r="AE73" i="3"/>
  <c r="AH73" i="3"/>
  <c r="AK73" i="3"/>
  <c r="AN73" i="3"/>
  <c r="AQ73" i="3"/>
  <c r="AT73" i="3"/>
  <c r="AW73" i="3"/>
  <c r="AZ73" i="3"/>
  <c r="BC73" i="3"/>
  <c r="BF73" i="3"/>
  <c r="BI73" i="3"/>
  <c r="BL73" i="3"/>
  <c r="BO73" i="3"/>
  <c r="G72" i="3"/>
  <c r="J72" i="3"/>
  <c r="M72" i="3"/>
  <c r="P72" i="3"/>
  <c r="S72" i="3"/>
  <c r="V72" i="3"/>
  <c r="Y72" i="3"/>
  <c r="AB72" i="3"/>
  <c r="AE72" i="3"/>
  <c r="AH72" i="3"/>
  <c r="AK72" i="3"/>
  <c r="AN72" i="3"/>
  <c r="AQ72" i="3"/>
  <c r="AT72" i="3"/>
  <c r="AW72" i="3"/>
  <c r="AZ72" i="3"/>
  <c r="BC72" i="3"/>
  <c r="BF72" i="3"/>
  <c r="BI72" i="3"/>
  <c r="BL72" i="3"/>
  <c r="BO72" i="3"/>
  <c r="G71" i="3"/>
  <c r="J71" i="3"/>
  <c r="M71" i="3"/>
  <c r="P71" i="3"/>
  <c r="S71" i="3"/>
  <c r="V71" i="3"/>
  <c r="Y71" i="3"/>
  <c r="AB71" i="3"/>
  <c r="AE71" i="3"/>
  <c r="AH71" i="3"/>
  <c r="AK71" i="3"/>
  <c r="AN71" i="3"/>
  <c r="AQ71" i="3"/>
  <c r="AT71" i="3"/>
  <c r="AW71" i="3"/>
  <c r="AZ71" i="3"/>
  <c r="BC71" i="3"/>
  <c r="BF71" i="3"/>
  <c r="BI71" i="3"/>
  <c r="BL71" i="3"/>
  <c r="BO71" i="3"/>
  <c r="G70" i="3"/>
  <c r="J70" i="3"/>
  <c r="M70" i="3"/>
  <c r="P70" i="3"/>
  <c r="S70" i="3"/>
  <c r="V70" i="3"/>
  <c r="Y70" i="3"/>
  <c r="AB70" i="3"/>
  <c r="AE70" i="3"/>
  <c r="AH70" i="3"/>
  <c r="AK70" i="3"/>
  <c r="AN70" i="3"/>
  <c r="AQ70" i="3"/>
  <c r="AT70" i="3"/>
  <c r="AW70" i="3"/>
  <c r="AZ70" i="3"/>
  <c r="BC70" i="3"/>
  <c r="BF70" i="3"/>
  <c r="BI70" i="3"/>
  <c r="BL70" i="3"/>
  <c r="BO70" i="3"/>
  <c r="G69" i="3"/>
  <c r="J69" i="3"/>
  <c r="M69" i="3"/>
  <c r="P69" i="3"/>
  <c r="S69" i="3"/>
  <c r="V69" i="3"/>
  <c r="Y69" i="3"/>
  <c r="AB69" i="3"/>
  <c r="AE69" i="3"/>
  <c r="AH69" i="3"/>
  <c r="AK69" i="3"/>
  <c r="AN69" i="3"/>
  <c r="AQ69" i="3"/>
  <c r="AT69" i="3"/>
  <c r="AW69" i="3"/>
  <c r="AZ69" i="3"/>
  <c r="BC69" i="3"/>
  <c r="BF69" i="3"/>
  <c r="BI69" i="3"/>
  <c r="BL69" i="3"/>
  <c r="BO69" i="3"/>
  <c r="G68" i="3"/>
  <c r="J68" i="3"/>
  <c r="M68" i="3"/>
  <c r="P68" i="3"/>
  <c r="S68" i="3"/>
  <c r="V68" i="3"/>
  <c r="Y68" i="3"/>
  <c r="AB68" i="3"/>
  <c r="AE68" i="3"/>
  <c r="AH68" i="3"/>
  <c r="AK68" i="3"/>
  <c r="AN68" i="3"/>
  <c r="AQ68" i="3"/>
  <c r="AT68" i="3"/>
  <c r="AW68" i="3"/>
  <c r="AZ68" i="3"/>
  <c r="BC68" i="3"/>
  <c r="BF68" i="3"/>
  <c r="BI68" i="3"/>
  <c r="BL68" i="3"/>
  <c r="BO68" i="3"/>
  <c r="G67" i="3"/>
  <c r="J67" i="3"/>
  <c r="M67" i="3"/>
  <c r="P67" i="3"/>
  <c r="S67" i="3"/>
  <c r="V67" i="3"/>
  <c r="Y67" i="3"/>
  <c r="AB67" i="3"/>
  <c r="AE67" i="3"/>
  <c r="AH67" i="3"/>
  <c r="AK67" i="3"/>
  <c r="AN67" i="3"/>
  <c r="AQ67" i="3"/>
  <c r="AT67" i="3"/>
  <c r="AW67" i="3"/>
  <c r="AZ67" i="3"/>
  <c r="BC67" i="3"/>
  <c r="BF67" i="3"/>
  <c r="BI67" i="3"/>
  <c r="BL67" i="3"/>
  <c r="BO67" i="3"/>
  <c r="G66" i="3"/>
  <c r="J66" i="3"/>
  <c r="M66" i="3"/>
  <c r="P66" i="3"/>
  <c r="S66" i="3"/>
  <c r="V66" i="3"/>
  <c r="Y66" i="3"/>
  <c r="AB66" i="3"/>
  <c r="AE66" i="3"/>
  <c r="AH66" i="3"/>
  <c r="AK66" i="3"/>
  <c r="AN66" i="3"/>
  <c r="AQ66" i="3"/>
  <c r="AT66" i="3"/>
  <c r="AW66" i="3"/>
  <c r="AZ66" i="3"/>
  <c r="BC66" i="3"/>
  <c r="BF66" i="3"/>
  <c r="BI66" i="3"/>
  <c r="BL66" i="3"/>
  <c r="BO66" i="3"/>
  <c r="I64" i="3"/>
  <c r="L64" i="3"/>
  <c r="O64" i="3"/>
  <c r="R64" i="3"/>
  <c r="U64" i="3"/>
  <c r="X64" i="3"/>
  <c r="AA64" i="3"/>
  <c r="AD64" i="3"/>
  <c r="AG64" i="3"/>
  <c r="AJ64" i="3"/>
  <c r="AM64" i="3"/>
  <c r="AP64" i="3"/>
  <c r="AS64" i="3"/>
  <c r="AV64" i="3"/>
  <c r="AY64" i="3"/>
  <c r="BB64" i="3"/>
  <c r="BE64" i="3"/>
  <c r="BH64" i="3"/>
  <c r="BK64" i="3"/>
  <c r="BN64" i="3"/>
  <c r="BQ64" i="3"/>
  <c r="E64" i="3"/>
  <c r="D64" i="3"/>
  <c r="I63" i="3"/>
  <c r="L63" i="3"/>
  <c r="O63" i="3"/>
  <c r="R63" i="3"/>
  <c r="U63" i="3"/>
  <c r="X63" i="3"/>
  <c r="AA63" i="3"/>
  <c r="AD63" i="3"/>
  <c r="AG63" i="3"/>
  <c r="AJ63" i="3"/>
  <c r="AM63" i="3"/>
  <c r="AP63" i="3"/>
  <c r="AS63" i="3"/>
  <c r="AV63" i="3"/>
  <c r="AY63" i="3"/>
  <c r="BB63" i="3"/>
  <c r="BE63" i="3"/>
  <c r="BH63" i="3"/>
  <c r="BK63" i="3"/>
  <c r="BN63" i="3"/>
  <c r="BQ63" i="3"/>
  <c r="E63" i="3"/>
  <c r="D63" i="3"/>
  <c r="I62" i="3"/>
  <c r="L62" i="3"/>
  <c r="O62" i="3"/>
  <c r="R62" i="3"/>
  <c r="U62" i="3"/>
  <c r="X62" i="3"/>
  <c r="AA62" i="3"/>
  <c r="AD62" i="3"/>
  <c r="AG62" i="3"/>
  <c r="AJ62" i="3"/>
  <c r="AM62" i="3"/>
  <c r="AP62" i="3"/>
  <c r="AS62" i="3"/>
  <c r="AV62" i="3"/>
  <c r="AY62" i="3"/>
  <c r="BB62" i="3"/>
  <c r="BE62" i="3"/>
  <c r="BH62" i="3"/>
  <c r="BK62" i="3"/>
  <c r="BN62" i="3"/>
  <c r="BQ62" i="3"/>
  <c r="E62" i="3"/>
  <c r="D62" i="3"/>
  <c r="I61" i="3"/>
  <c r="L61" i="3"/>
  <c r="O61" i="3"/>
  <c r="R61" i="3"/>
  <c r="U61" i="3"/>
  <c r="X61" i="3"/>
  <c r="AA61" i="3"/>
  <c r="AD61" i="3"/>
  <c r="AG61" i="3"/>
  <c r="AJ61" i="3"/>
  <c r="AM61" i="3"/>
  <c r="AP61" i="3"/>
  <c r="AS61" i="3"/>
  <c r="AV61" i="3"/>
  <c r="AY61" i="3"/>
  <c r="BB61" i="3"/>
  <c r="BE61" i="3"/>
  <c r="BH61" i="3"/>
  <c r="BK61" i="3"/>
  <c r="BN61" i="3"/>
  <c r="BQ61" i="3"/>
  <c r="E61" i="3"/>
  <c r="D61" i="3"/>
  <c r="I60" i="3"/>
  <c r="L60" i="3"/>
  <c r="O60" i="3"/>
  <c r="R60" i="3"/>
  <c r="U60" i="3"/>
  <c r="X60" i="3"/>
  <c r="AA60" i="3"/>
  <c r="AD60" i="3"/>
  <c r="AG60" i="3"/>
  <c r="AJ60" i="3"/>
  <c r="AM60" i="3"/>
  <c r="AP60" i="3"/>
  <c r="AS60" i="3"/>
  <c r="AV60" i="3"/>
  <c r="AY60" i="3"/>
  <c r="BB60" i="3"/>
  <c r="BE60" i="3"/>
  <c r="BH60" i="3"/>
  <c r="BK60" i="3"/>
  <c r="BN60" i="3"/>
  <c r="BQ60" i="3"/>
  <c r="E60" i="3"/>
  <c r="D60" i="3"/>
  <c r="I59" i="3"/>
  <c r="L59" i="3"/>
  <c r="O59" i="3"/>
  <c r="R59" i="3"/>
  <c r="U59" i="3"/>
  <c r="X59" i="3"/>
  <c r="AA59" i="3"/>
  <c r="AD59" i="3"/>
  <c r="AG59" i="3"/>
  <c r="AJ59" i="3"/>
  <c r="AM59" i="3"/>
  <c r="AP59" i="3"/>
  <c r="AS59" i="3"/>
  <c r="AV59" i="3"/>
  <c r="AY59" i="3"/>
  <c r="BB59" i="3"/>
  <c r="BE59" i="3"/>
  <c r="BH59" i="3"/>
  <c r="BK59" i="3"/>
  <c r="BN59" i="3"/>
  <c r="BQ59" i="3"/>
  <c r="E59" i="3"/>
  <c r="D59" i="3"/>
  <c r="I58" i="3"/>
  <c r="L58" i="3"/>
  <c r="O58" i="3"/>
  <c r="R58" i="3"/>
  <c r="U58" i="3"/>
  <c r="X58" i="3"/>
  <c r="AA58" i="3"/>
  <c r="AD58" i="3"/>
  <c r="AG58" i="3"/>
  <c r="AJ58" i="3"/>
  <c r="AM58" i="3"/>
  <c r="AP58" i="3"/>
  <c r="AS58" i="3"/>
  <c r="AV58" i="3"/>
  <c r="AY58" i="3"/>
  <c r="BB58" i="3"/>
  <c r="BE58" i="3"/>
  <c r="BH58" i="3"/>
  <c r="BK58" i="3"/>
  <c r="BN58" i="3"/>
  <c r="BQ58" i="3"/>
  <c r="E58" i="3"/>
  <c r="D58" i="3"/>
  <c r="I57" i="3"/>
  <c r="L57" i="3"/>
  <c r="O57" i="3"/>
  <c r="R57" i="3"/>
  <c r="U57" i="3"/>
  <c r="X57" i="3"/>
  <c r="AA57" i="3"/>
  <c r="AD57" i="3"/>
  <c r="AG57" i="3"/>
  <c r="AJ57" i="3"/>
  <c r="AM57" i="3"/>
  <c r="AP57" i="3"/>
  <c r="AS57" i="3"/>
  <c r="AV57" i="3"/>
  <c r="AY57" i="3"/>
  <c r="BB57" i="3"/>
  <c r="BE57" i="3"/>
  <c r="BH57" i="3"/>
  <c r="BK57" i="3"/>
  <c r="BN57" i="3"/>
  <c r="BQ57" i="3"/>
  <c r="E57" i="3"/>
  <c r="D57" i="3"/>
  <c r="I56" i="3"/>
  <c r="L56" i="3"/>
  <c r="O56" i="3"/>
  <c r="R56" i="3"/>
  <c r="U56" i="3"/>
  <c r="X56" i="3"/>
  <c r="AA56" i="3"/>
  <c r="AD56" i="3"/>
  <c r="AG56" i="3"/>
  <c r="AJ56" i="3"/>
  <c r="AM56" i="3"/>
  <c r="AP56" i="3"/>
  <c r="AS56" i="3"/>
  <c r="AV56" i="3"/>
  <c r="AY56" i="3"/>
  <c r="BB56" i="3"/>
  <c r="BE56" i="3"/>
  <c r="BH56" i="3"/>
  <c r="BK56" i="3"/>
  <c r="BN56" i="3"/>
  <c r="BQ56" i="3"/>
  <c r="E56" i="3"/>
  <c r="D56" i="3"/>
  <c r="I55" i="3"/>
  <c r="L55" i="3"/>
  <c r="O55" i="3"/>
  <c r="R55" i="3"/>
  <c r="U55" i="3"/>
  <c r="X55" i="3"/>
  <c r="AA55" i="3"/>
  <c r="AD55" i="3"/>
  <c r="AG55" i="3"/>
  <c r="AJ55" i="3"/>
  <c r="AM55" i="3"/>
  <c r="AP55" i="3"/>
  <c r="AS55" i="3"/>
  <c r="AV55" i="3"/>
  <c r="AY55" i="3"/>
  <c r="BB55" i="3"/>
  <c r="BE55" i="3"/>
  <c r="BH55" i="3"/>
  <c r="BK55" i="3"/>
  <c r="BN55" i="3"/>
  <c r="BQ55" i="3"/>
  <c r="E55" i="3"/>
  <c r="D55" i="3"/>
  <c r="E54" i="3"/>
  <c r="F54" i="3" s="1"/>
  <c r="D54" i="3"/>
  <c r="E53" i="3"/>
  <c r="D53" i="3"/>
  <c r="E52" i="3"/>
  <c r="F52" i="3" s="1"/>
  <c r="D52" i="3"/>
  <c r="E51" i="3"/>
  <c r="D51" i="3"/>
  <c r="E50" i="3"/>
  <c r="D50" i="3"/>
  <c r="E49" i="3"/>
  <c r="F49" i="3" s="1"/>
  <c r="D49" i="3"/>
  <c r="E48" i="3"/>
  <c r="D48" i="3"/>
  <c r="F48" i="3" s="1"/>
  <c r="E47" i="3"/>
  <c r="D47" i="3"/>
  <c r="E46" i="3"/>
  <c r="D46" i="3"/>
  <c r="E45" i="3"/>
  <c r="D45" i="3"/>
  <c r="I14" i="3"/>
  <c r="L14" i="3"/>
  <c r="O14" i="3"/>
  <c r="R14" i="3"/>
  <c r="U14" i="3"/>
  <c r="X14" i="3"/>
  <c r="AA14" i="3"/>
  <c r="AD14" i="3"/>
  <c r="AG14" i="3"/>
  <c r="AJ14" i="3"/>
  <c r="AM14" i="3"/>
  <c r="AP14" i="3"/>
  <c r="AS14" i="3"/>
  <c r="AV14" i="3"/>
  <c r="AY14" i="3"/>
  <c r="BB14" i="3"/>
  <c r="BE14" i="3"/>
  <c r="BH14" i="3"/>
  <c r="BK14" i="3"/>
  <c r="BN14" i="3"/>
  <c r="BQ14" i="3"/>
  <c r="I13" i="3"/>
  <c r="L13" i="3"/>
  <c r="O13" i="3"/>
  <c r="R13" i="3"/>
  <c r="U13" i="3"/>
  <c r="X13" i="3"/>
  <c r="AA13" i="3"/>
  <c r="AD13" i="3"/>
  <c r="AG13" i="3"/>
  <c r="AJ13" i="3"/>
  <c r="AM13" i="3"/>
  <c r="AP13" i="3"/>
  <c r="AS13" i="3"/>
  <c r="AV13" i="3"/>
  <c r="AY13" i="3"/>
  <c r="BB13" i="3"/>
  <c r="BE13" i="3"/>
  <c r="BH13" i="3"/>
  <c r="BK13" i="3"/>
  <c r="BN13" i="3"/>
  <c r="BQ13" i="3"/>
  <c r="I12" i="3"/>
  <c r="L12" i="3"/>
  <c r="O12" i="3"/>
  <c r="R12" i="3"/>
  <c r="U12" i="3"/>
  <c r="X12" i="3"/>
  <c r="AA12" i="3"/>
  <c r="AD12" i="3"/>
  <c r="AG12" i="3"/>
  <c r="AJ12" i="3"/>
  <c r="AM12" i="3"/>
  <c r="AP12" i="3"/>
  <c r="AS12" i="3"/>
  <c r="AV12" i="3"/>
  <c r="AY12" i="3"/>
  <c r="BB12" i="3"/>
  <c r="BE12" i="3"/>
  <c r="BH12" i="3"/>
  <c r="BK12" i="3"/>
  <c r="BN12" i="3"/>
  <c r="BQ12" i="3"/>
  <c r="I11" i="3"/>
  <c r="L11" i="3"/>
  <c r="O11" i="3"/>
  <c r="R11" i="3"/>
  <c r="U11" i="3"/>
  <c r="X11" i="3"/>
  <c r="AA11" i="3"/>
  <c r="AD11" i="3"/>
  <c r="AG11" i="3"/>
  <c r="AJ11" i="3"/>
  <c r="AM11" i="3"/>
  <c r="AP11" i="3"/>
  <c r="AS11" i="3"/>
  <c r="AV11" i="3"/>
  <c r="AY11" i="3"/>
  <c r="BB11" i="3"/>
  <c r="BE11" i="3"/>
  <c r="BH11" i="3"/>
  <c r="BK11" i="3"/>
  <c r="BN11" i="3"/>
  <c r="BQ11" i="3"/>
  <c r="I10" i="3"/>
  <c r="L10" i="3"/>
  <c r="O10" i="3"/>
  <c r="R10" i="3"/>
  <c r="U10" i="3"/>
  <c r="X10" i="3"/>
  <c r="AA10" i="3"/>
  <c r="AD10" i="3"/>
  <c r="AG10" i="3"/>
  <c r="AJ10" i="3"/>
  <c r="AM10" i="3"/>
  <c r="AP10" i="3"/>
  <c r="AS10" i="3"/>
  <c r="AV10" i="3"/>
  <c r="AY10" i="3"/>
  <c r="BB10" i="3"/>
  <c r="BE10" i="3"/>
  <c r="BH10" i="3"/>
  <c r="BK10" i="3"/>
  <c r="BN10" i="3"/>
  <c r="BQ10" i="3"/>
  <c r="I9" i="3"/>
  <c r="L9" i="3"/>
  <c r="O9" i="3"/>
  <c r="R9" i="3"/>
  <c r="U9" i="3"/>
  <c r="X9" i="3"/>
  <c r="AA9" i="3"/>
  <c r="AD9" i="3"/>
  <c r="AG9" i="3"/>
  <c r="AJ9" i="3"/>
  <c r="AM9" i="3"/>
  <c r="AP9" i="3"/>
  <c r="AS9" i="3"/>
  <c r="AV9" i="3"/>
  <c r="AY9" i="3"/>
  <c r="BB9" i="3"/>
  <c r="BE9" i="3"/>
  <c r="BH9" i="3"/>
  <c r="BK9" i="3"/>
  <c r="BN9" i="3"/>
  <c r="BQ9" i="3"/>
  <c r="I8" i="3"/>
  <c r="L8" i="3"/>
  <c r="O8" i="3"/>
  <c r="R8" i="3"/>
  <c r="U8" i="3"/>
  <c r="X8" i="3"/>
  <c r="AA8" i="3"/>
  <c r="AD8" i="3"/>
  <c r="AG8" i="3"/>
  <c r="AJ8" i="3"/>
  <c r="AM8" i="3"/>
  <c r="AP8" i="3"/>
  <c r="AS8" i="3"/>
  <c r="AV8" i="3"/>
  <c r="AY8" i="3"/>
  <c r="BB8" i="3"/>
  <c r="BE8" i="3"/>
  <c r="BH8" i="3"/>
  <c r="BK8" i="3"/>
  <c r="BN8" i="3"/>
  <c r="BQ8" i="3"/>
  <c r="I7" i="3"/>
  <c r="L7" i="3"/>
  <c r="O7" i="3"/>
  <c r="R7" i="3"/>
  <c r="U7" i="3"/>
  <c r="X7" i="3"/>
  <c r="AA7" i="3"/>
  <c r="AD7" i="3"/>
  <c r="AG7" i="3"/>
  <c r="AJ7" i="3"/>
  <c r="AM7" i="3"/>
  <c r="AP7" i="3"/>
  <c r="AS7" i="3"/>
  <c r="AV7" i="3"/>
  <c r="AY7" i="3"/>
  <c r="BB7" i="3"/>
  <c r="BE7" i="3"/>
  <c r="BH7" i="3"/>
  <c r="BK7" i="3"/>
  <c r="BN7" i="3"/>
  <c r="BQ7" i="3"/>
  <c r="I6" i="3"/>
  <c r="L6" i="3"/>
  <c r="O6" i="3"/>
  <c r="R6" i="3"/>
  <c r="U6" i="3"/>
  <c r="X6" i="3"/>
  <c r="AA6" i="3"/>
  <c r="AD6" i="3"/>
  <c r="AG6" i="3"/>
  <c r="AJ6" i="3"/>
  <c r="AM6" i="3"/>
  <c r="AP6" i="3"/>
  <c r="AS6" i="3"/>
  <c r="AV6" i="3"/>
  <c r="AY6" i="3"/>
  <c r="BB6" i="3"/>
  <c r="BE6" i="3"/>
  <c r="BH6" i="3"/>
  <c r="BK6" i="3"/>
  <c r="BN6" i="3"/>
  <c r="BQ6" i="3"/>
  <c r="E14" i="3"/>
  <c r="E13" i="3"/>
  <c r="E12" i="3"/>
  <c r="E11" i="3"/>
  <c r="E10" i="3"/>
  <c r="E9" i="3"/>
  <c r="E8" i="3"/>
  <c r="E7" i="3"/>
  <c r="E6" i="3"/>
  <c r="E5" i="3"/>
  <c r="D14" i="3"/>
  <c r="D13" i="3"/>
  <c r="D12" i="3"/>
  <c r="D11" i="3"/>
  <c r="D10" i="3"/>
  <c r="D9" i="3"/>
  <c r="D8" i="3"/>
  <c r="D7" i="3"/>
  <c r="D6" i="3"/>
  <c r="D5" i="3"/>
  <c r="BO2" i="3"/>
  <c r="A107" i="14" s="1"/>
  <c r="BL2" i="3"/>
  <c r="A72" i="14" s="1"/>
  <c r="BI2" i="3"/>
  <c r="A37" i="14" s="1"/>
  <c r="BF2" i="3"/>
  <c r="AN2" i="3"/>
  <c r="AK2" i="3"/>
  <c r="AE2" i="3"/>
  <c r="AB2" i="3"/>
  <c r="Y2" i="3"/>
  <c r="V2" i="3"/>
  <c r="AJ115" i="3"/>
  <c r="AD113" i="3"/>
  <c r="AM112" i="3"/>
  <c r="AD109" i="3"/>
  <c r="AM54" i="3"/>
  <c r="AJ54" i="3"/>
  <c r="AG54" i="3"/>
  <c r="AD54" i="3"/>
  <c r="AA54" i="3"/>
  <c r="X54" i="3"/>
  <c r="U54" i="3"/>
  <c r="R54" i="3"/>
  <c r="O54" i="3"/>
  <c r="L54" i="3"/>
  <c r="AM53" i="3"/>
  <c r="AJ53" i="3"/>
  <c r="AG53" i="3"/>
  <c r="AD53" i="3"/>
  <c r="AA53" i="3"/>
  <c r="X53" i="3"/>
  <c r="U53" i="3"/>
  <c r="R53" i="3"/>
  <c r="O53" i="3"/>
  <c r="L53" i="3"/>
  <c r="AM52" i="3"/>
  <c r="AJ52" i="3"/>
  <c r="AG52" i="3"/>
  <c r="AD52" i="3"/>
  <c r="AA52" i="3"/>
  <c r="X52" i="3"/>
  <c r="U52" i="3"/>
  <c r="R52" i="3"/>
  <c r="O52" i="3"/>
  <c r="L52" i="3"/>
  <c r="AM51" i="3"/>
  <c r="AJ51" i="3"/>
  <c r="AG51" i="3"/>
  <c r="AD51" i="3"/>
  <c r="AA51" i="3"/>
  <c r="X51" i="3"/>
  <c r="U51" i="3"/>
  <c r="R51" i="3"/>
  <c r="O51" i="3"/>
  <c r="L51" i="3"/>
  <c r="AM50" i="3"/>
  <c r="AJ50" i="3"/>
  <c r="AG50" i="3"/>
  <c r="AD50" i="3"/>
  <c r="AA50" i="3"/>
  <c r="X50" i="3"/>
  <c r="U50" i="3"/>
  <c r="R50" i="3"/>
  <c r="O50" i="3"/>
  <c r="L50" i="3"/>
  <c r="AM49" i="3"/>
  <c r="AJ49" i="3"/>
  <c r="AG49" i="3"/>
  <c r="AD49" i="3"/>
  <c r="AA49" i="3"/>
  <c r="X49" i="3"/>
  <c r="U49" i="3"/>
  <c r="R49" i="3"/>
  <c r="O49" i="3"/>
  <c r="L49" i="3"/>
  <c r="AM48" i="3"/>
  <c r="AJ48" i="3"/>
  <c r="AG48" i="3"/>
  <c r="AD48" i="3"/>
  <c r="AA48" i="3"/>
  <c r="X48" i="3"/>
  <c r="U48" i="3"/>
  <c r="R48" i="3"/>
  <c r="O48" i="3"/>
  <c r="L48" i="3"/>
  <c r="AM47" i="3"/>
  <c r="AJ47" i="3"/>
  <c r="AG47" i="3"/>
  <c r="AD47" i="3"/>
  <c r="AA47" i="3"/>
  <c r="X47" i="3"/>
  <c r="U47" i="3"/>
  <c r="R47" i="3"/>
  <c r="O47" i="3"/>
  <c r="L47" i="3"/>
  <c r="AM46" i="3"/>
  <c r="AJ46" i="3"/>
  <c r="AG46" i="3"/>
  <c r="AD46" i="3"/>
  <c r="AA46" i="3"/>
  <c r="X46" i="3"/>
  <c r="U46" i="3"/>
  <c r="R46" i="3"/>
  <c r="O46" i="3"/>
  <c r="L46" i="3"/>
  <c r="AM45" i="3"/>
  <c r="AJ45" i="3"/>
  <c r="AG45" i="3"/>
  <c r="AD45" i="3"/>
  <c r="AA45" i="3"/>
  <c r="X45" i="3"/>
  <c r="U45" i="3"/>
  <c r="R45" i="3"/>
  <c r="O45" i="3"/>
  <c r="L45" i="3"/>
  <c r="AM44" i="3"/>
  <c r="AJ44" i="3"/>
  <c r="AG44" i="3"/>
  <c r="AD44" i="3"/>
  <c r="AA44" i="3"/>
  <c r="X44" i="3"/>
  <c r="U44" i="3"/>
  <c r="R44" i="3"/>
  <c r="O44" i="3"/>
  <c r="L44" i="3"/>
  <c r="AM43" i="3"/>
  <c r="AJ43" i="3"/>
  <c r="AG43" i="3"/>
  <c r="AD43" i="3"/>
  <c r="AA43" i="3"/>
  <c r="X43" i="3"/>
  <c r="U43" i="3"/>
  <c r="R43" i="3"/>
  <c r="O43" i="3"/>
  <c r="L43" i="3"/>
  <c r="AM42" i="3"/>
  <c r="AJ42" i="3"/>
  <c r="AG42" i="3"/>
  <c r="AD42" i="3"/>
  <c r="AA42" i="3"/>
  <c r="X42" i="3"/>
  <c r="U42" i="3"/>
  <c r="R42" i="3"/>
  <c r="O42" i="3"/>
  <c r="L42" i="3"/>
  <c r="AM41" i="3"/>
  <c r="AJ41" i="3"/>
  <c r="AG41" i="3"/>
  <c r="AD41" i="3"/>
  <c r="AA41" i="3"/>
  <c r="X41" i="3"/>
  <c r="U41" i="3"/>
  <c r="R41" i="3"/>
  <c r="O41" i="3"/>
  <c r="L41" i="3"/>
  <c r="AM40" i="3"/>
  <c r="AJ40" i="3"/>
  <c r="AG40" i="3"/>
  <c r="AD40" i="3"/>
  <c r="AA40" i="3"/>
  <c r="X40" i="3"/>
  <c r="U40" i="3"/>
  <c r="R40" i="3"/>
  <c r="O40" i="3"/>
  <c r="L40" i="3"/>
  <c r="AM39" i="3"/>
  <c r="AJ39" i="3"/>
  <c r="AG39" i="3"/>
  <c r="AD39" i="3"/>
  <c r="AA39" i="3"/>
  <c r="X39" i="3"/>
  <c r="U39" i="3"/>
  <c r="R39" i="3"/>
  <c r="O39" i="3"/>
  <c r="L39" i="3"/>
  <c r="AM38" i="3"/>
  <c r="AJ38" i="3"/>
  <c r="AG38" i="3"/>
  <c r="AD38" i="3"/>
  <c r="AA38" i="3"/>
  <c r="X38" i="3"/>
  <c r="U38" i="3"/>
  <c r="R38" i="3"/>
  <c r="O38" i="3"/>
  <c r="L38" i="3"/>
  <c r="AM37" i="3"/>
  <c r="AJ37" i="3"/>
  <c r="AG37" i="3"/>
  <c r="AD37" i="3"/>
  <c r="AA37" i="3"/>
  <c r="X37" i="3"/>
  <c r="U37" i="3"/>
  <c r="R37" i="3"/>
  <c r="O37" i="3"/>
  <c r="L37" i="3"/>
  <c r="AM36" i="3"/>
  <c r="AJ36" i="3"/>
  <c r="AG36" i="3"/>
  <c r="AD36" i="3"/>
  <c r="AA36" i="3"/>
  <c r="X36" i="3"/>
  <c r="U36" i="3"/>
  <c r="R36" i="3"/>
  <c r="O36" i="3"/>
  <c r="L36" i="3"/>
  <c r="AM35" i="3"/>
  <c r="AJ35" i="3"/>
  <c r="AG35" i="3"/>
  <c r="AD35" i="3"/>
  <c r="AA35" i="3"/>
  <c r="X35" i="3"/>
  <c r="U35" i="3"/>
  <c r="R35" i="3"/>
  <c r="O35" i="3"/>
  <c r="L35" i="3"/>
  <c r="AM34" i="3"/>
  <c r="AJ34" i="3"/>
  <c r="AG34" i="3"/>
  <c r="AD34" i="3"/>
  <c r="AA34" i="3"/>
  <c r="X34" i="3"/>
  <c r="U34" i="3"/>
  <c r="R34" i="3"/>
  <c r="O34" i="3"/>
  <c r="L34" i="3"/>
  <c r="AM33" i="3"/>
  <c r="AJ33" i="3"/>
  <c r="AG33" i="3"/>
  <c r="AD33" i="3"/>
  <c r="AA33" i="3"/>
  <c r="X33" i="3"/>
  <c r="U33" i="3"/>
  <c r="R33" i="3"/>
  <c r="O33" i="3"/>
  <c r="L33" i="3"/>
  <c r="AM32" i="3"/>
  <c r="AJ32" i="3"/>
  <c r="AG32" i="3"/>
  <c r="AD32" i="3"/>
  <c r="AA32" i="3"/>
  <c r="X32" i="3"/>
  <c r="U32" i="3"/>
  <c r="R32" i="3"/>
  <c r="O32" i="3"/>
  <c r="L32" i="3"/>
  <c r="AM31" i="3"/>
  <c r="AJ31" i="3"/>
  <c r="AG31" i="3"/>
  <c r="AD31" i="3"/>
  <c r="AA31" i="3"/>
  <c r="X31" i="3"/>
  <c r="U31" i="3"/>
  <c r="R31" i="3"/>
  <c r="O31" i="3"/>
  <c r="L31" i="3"/>
  <c r="AM30" i="3"/>
  <c r="AJ30" i="3"/>
  <c r="AG30" i="3"/>
  <c r="AD30" i="3"/>
  <c r="AA30" i="3"/>
  <c r="X30" i="3"/>
  <c r="U30" i="3"/>
  <c r="R30" i="3"/>
  <c r="O30" i="3"/>
  <c r="L30" i="3"/>
  <c r="AM29" i="3"/>
  <c r="AJ29" i="3"/>
  <c r="AG29" i="3"/>
  <c r="AD29" i="3"/>
  <c r="AA29" i="3"/>
  <c r="X29" i="3"/>
  <c r="U29" i="3"/>
  <c r="R29" i="3"/>
  <c r="O29" i="3"/>
  <c r="L29" i="3"/>
  <c r="AM28" i="3"/>
  <c r="AJ28" i="3"/>
  <c r="AG28" i="3"/>
  <c r="AD28" i="3"/>
  <c r="AA28" i="3"/>
  <c r="X28" i="3"/>
  <c r="U28" i="3"/>
  <c r="R28" i="3"/>
  <c r="O28" i="3"/>
  <c r="L28" i="3"/>
  <c r="AM27" i="3"/>
  <c r="AJ27" i="3"/>
  <c r="AG27" i="3"/>
  <c r="AD27" i="3"/>
  <c r="AA27" i="3"/>
  <c r="X27" i="3"/>
  <c r="U27" i="3"/>
  <c r="R27" i="3"/>
  <c r="O27" i="3"/>
  <c r="L27" i="3"/>
  <c r="AM26" i="3"/>
  <c r="AJ26" i="3"/>
  <c r="AG26" i="3"/>
  <c r="AD26" i="3"/>
  <c r="AA26" i="3"/>
  <c r="X26" i="3"/>
  <c r="U26" i="3"/>
  <c r="R26" i="3"/>
  <c r="O26" i="3"/>
  <c r="L26" i="3"/>
  <c r="AM25" i="3"/>
  <c r="AJ25" i="3"/>
  <c r="AG25" i="3"/>
  <c r="AD25" i="3"/>
  <c r="AA25" i="3"/>
  <c r="X25" i="3"/>
  <c r="U25" i="3"/>
  <c r="R25" i="3"/>
  <c r="O25" i="3"/>
  <c r="L25" i="3"/>
  <c r="AM24" i="3"/>
  <c r="AJ24" i="3"/>
  <c r="AG24" i="3"/>
  <c r="AD24" i="3"/>
  <c r="AA24" i="3"/>
  <c r="X24" i="3"/>
  <c r="U24" i="3"/>
  <c r="R24" i="3"/>
  <c r="O24" i="3"/>
  <c r="L24" i="3"/>
  <c r="AM23" i="3"/>
  <c r="AJ23" i="3"/>
  <c r="AG23" i="3"/>
  <c r="AD23" i="3"/>
  <c r="AA23" i="3"/>
  <c r="X23" i="3"/>
  <c r="U23" i="3"/>
  <c r="R23" i="3"/>
  <c r="O23" i="3"/>
  <c r="L23" i="3"/>
  <c r="AM22" i="3"/>
  <c r="AJ22" i="3"/>
  <c r="AG22" i="3"/>
  <c r="AD22" i="3"/>
  <c r="AA22" i="3"/>
  <c r="X22" i="3"/>
  <c r="U22" i="3"/>
  <c r="R22" i="3"/>
  <c r="O22" i="3"/>
  <c r="L22" i="3"/>
  <c r="AM21" i="3"/>
  <c r="AJ21" i="3"/>
  <c r="AG21" i="3"/>
  <c r="AD21" i="3"/>
  <c r="AA21" i="3"/>
  <c r="X21" i="3"/>
  <c r="U21" i="3"/>
  <c r="R21" i="3"/>
  <c r="O21" i="3"/>
  <c r="L21" i="3"/>
  <c r="AM20" i="3"/>
  <c r="AJ20" i="3"/>
  <c r="AG20" i="3"/>
  <c r="AD20" i="3"/>
  <c r="AA20" i="3"/>
  <c r="X20" i="3"/>
  <c r="U20" i="3"/>
  <c r="R20" i="3"/>
  <c r="O20" i="3"/>
  <c r="L20" i="3"/>
  <c r="AM19" i="3"/>
  <c r="AJ19" i="3"/>
  <c r="AG19" i="3"/>
  <c r="AD19" i="3"/>
  <c r="AA19" i="3"/>
  <c r="X19" i="3"/>
  <c r="U19" i="3"/>
  <c r="R19" i="3"/>
  <c r="O19" i="3"/>
  <c r="L19" i="3"/>
  <c r="AM18" i="3"/>
  <c r="AJ18" i="3"/>
  <c r="AG18" i="3"/>
  <c r="AD18" i="3"/>
  <c r="AA18" i="3"/>
  <c r="X18" i="3"/>
  <c r="U18" i="3"/>
  <c r="R18" i="3"/>
  <c r="O18" i="3"/>
  <c r="L18" i="3"/>
  <c r="AM17" i="3"/>
  <c r="AJ17" i="3"/>
  <c r="AG17" i="3"/>
  <c r="AD17" i="3"/>
  <c r="AA17" i="3"/>
  <c r="X17" i="3"/>
  <c r="U17" i="3"/>
  <c r="R17" i="3"/>
  <c r="O17" i="3"/>
  <c r="L17" i="3"/>
  <c r="AM16" i="3"/>
  <c r="AJ16" i="3"/>
  <c r="AG16" i="3"/>
  <c r="AD16" i="3"/>
  <c r="AA16" i="3"/>
  <c r="X16" i="3"/>
  <c r="U16" i="3"/>
  <c r="R16" i="3"/>
  <c r="O16" i="3"/>
  <c r="L16" i="3"/>
  <c r="AM15" i="3"/>
  <c r="AJ15" i="3"/>
  <c r="AG15" i="3"/>
  <c r="AD15" i="3"/>
  <c r="AA15" i="3"/>
  <c r="X15" i="3"/>
  <c r="U15" i="3"/>
  <c r="R15" i="3"/>
  <c r="O15" i="3"/>
  <c r="L15" i="3"/>
  <c r="AM5" i="3"/>
  <c r="AJ5" i="3"/>
  <c r="AG5" i="3"/>
  <c r="AD5" i="3"/>
  <c r="AA5" i="3"/>
  <c r="X5" i="3"/>
  <c r="U5" i="3"/>
  <c r="R5" i="3"/>
  <c r="O5" i="3"/>
  <c r="L5" i="3"/>
  <c r="AP114" i="3"/>
  <c r="AV106" i="3"/>
  <c r="AP106" i="3"/>
  <c r="BB54" i="3"/>
  <c r="AY54" i="3"/>
  <c r="AV54" i="3"/>
  <c r="AS54" i="3"/>
  <c r="AP54" i="3"/>
  <c r="BB53" i="3"/>
  <c r="AY53" i="3"/>
  <c r="AV53" i="3"/>
  <c r="AS53" i="3"/>
  <c r="AP53" i="3"/>
  <c r="BB52" i="3"/>
  <c r="AY52" i="3"/>
  <c r="AV52" i="3"/>
  <c r="AS52" i="3"/>
  <c r="AP52" i="3"/>
  <c r="BB51" i="3"/>
  <c r="AY51" i="3"/>
  <c r="AV51" i="3"/>
  <c r="AS51" i="3"/>
  <c r="AP51" i="3"/>
  <c r="BB50" i="3"/>
  <c r="AY50" i="3"/>
  <c r="AV50" i="3"/>
  <c r="AS50" i="3"/>
  <c r="AP50" i="3"/>
  <c r="BB49" i="3"/>
  <c r="AY49" i="3"/>
  <c r="AV49" i="3"/>
  <c r="AS49" i="3"/>
  <c r="AP49" i="3"/>
  <c r="BB48" i="3"/>
  <c r="AY48" i="3"/>
  <c r="AV48" i="3"/>
  <c r="AS48" i="3"/>
  <c r="AP48" i="3"/>
  <c r="BB47" i="3"/>
  <c r="AY47" i="3"/>
  <c r="AV47" i="3"/>
  <c r="AS47" i="3"/>
  <c r="AP47" i="3"/>
  <c r="BB46" i="3"/>
  <c r="AY46" i="3"/>
  <c r="AV46" i="3"/>
  <c r="AS46" i="3"/>
  <c r="AP46" i="3"/>
  <c r="BB45" i="3"/>
  <c r="AY45" i="3"/>
  <c r="AV45" i="3"/>
  <c r="AS45" i="3"/>
  <c r="AP45" i="3"/>
  <c r="BB44" i="3"/>
  <c r="AY44" i="3"/>
  <c r="AV44" i="3"/>
  <c r="AS44" i="3"/>
  <c r="AP44" i="3"/>
  <c r="BB43" i="3"/>
  <c r="AY43" i="3"/>
  <c r="AV43" i="3"/>
  <c r="AS43" i="3"/>
  <c r="AP43" i="3"/>
  <c r="BB42" i="3"/>
  <c r="AY42" i="3"/>
  <c r="AV42" i="3"/>
  <c r="AS42" i="3"/>
  <c r="AP42" i="3"/>
  <c r="BB41" i="3"/>
  <c r="AY41" i="3"/>
  <c r="AV41" i="3"/>
  <c r="AS41" i="3"/>
  <c r="AP41" i="3"/>
  <c r="BB40" i="3"/>
  <c r="AY40" i="3"/>
  <c r="AV40" i="3"/>
  <c r="AS40" i="3"/>
  <c r="AP40" i="3"/>
  <c r="BB39" i="3"/>
  <c r="AY39" i="3"/>
  <c r="AV39" i="3"/>
  <c r="AS39" i="3"/>
  <c r="AP39" i="3"/>
  <c r="BB38" i="3"/>
  <c r="AY38" i="3"/>
  <c r="AV38" i="3"/>
  <c r="AS38" i="3"/>
  <c r="AP38" i="3"/>
  <c r="BB37" i="3"/>
  <c r="AY37" i="3"/>
  <c r="AV37" i="3"/>
  <c r="AS37" i="3"/>
  <c r="AP37" i="3"/>
  <c r="BB36" i="3"/>
  <c r="AY36" i="3"/>
  <c r="AV36" i="3"/>
  <c r="AS36" i="3"/>
  <c r="AP36" i="3"/>
  <c r="BB35" i="3"/>
  <c r="AY35" i="3"/>
  <c r="AV35" i="3"/>
  <c r="AS35" i="3"/>
  <c r="AP35" i="3"/>
  <c r="BB34" i="3"/>
  <c r="AY34" i="3"/>
  <c r="AV34" i="3"/>
  <c r="AS34" i="3"/>
  <c r="AP34" i="3"/>
  <c r="BB33" i="3"/>
  <c r="AY33" i="3"/>
  <c r="AV33" i="3"/>
  <c r="AS33" i="3"/>
  <c r="AP33" i="3"/>
  <c r="BB32" i="3"/>
  <c r="AY32" i="3"/>
  <c r="AV32" i="3"/>
  <c r="AS32" i="3"/>
  <c r="AP32" i="3"/>
  <c r="BB31" i="3"/>
  <c r="AY31" i="3"/>
  <c r="AV31" i="3"/>
  <c r="AS31" i="3"/>
  <c r="AP31" i="3"/>
  <c r="BB30" i="3"/>
  <c r="AY30" i="3"/>
  <c r="AV30" i="3"/>
  <c r="AS30" i="3"/>
  <c r="AP30" i="3"/>
  <c r="BB29" i="3"/>
  <c r="AY29" i="3"/>
  <c r="AV29" i="3"/>
  <c r="AS29" i="3"/>
  <c r="AP29" i="3"/>
  <c r="BB28" i="3"/>
  <c r="AY28" i="3"/>
  <c r="AV28" i="3"/>
  <c r="AS28" i="3"/>
  <c r="AP28" i="3"/>
  <c r="BB27" i="3"/>
  <c r="AY27" i="3"/>
  <c r="AV27" i="3"/>
  <c r="AS27" i="3"/>
  <c r="AP27" i="3"/>
  <c r="BB26" i="3"/>
  <c r="AY26" i="3"/>
  <c r="AV26" i="3"/>
  <c r="AS26" i="3"/>
  <c r="AP26" i="3"/>
  <c r="BB25" i="3"/>
  <c r="AY25" i="3"/>
  <c r="AV25" i="3"/>
  <c r="AS25" i="3"/>
  <c r="AP25" i="3"/>
  <c r="BB24" i="3"/>
  <c r="AY24" i="3"/>
  <c r="AV24" i="3"/>
  <c r="AS24" i="3"/>
  <c r="AP24" i="3"/>
  <c r="BB23" i="3"/>
  <c r="AY23" i="3"/>
  <c r="AV23" i="3"/>
  <c r="AS23" i="3"/>
  <c r="AP23" i="3"/>
  <c r="BB22" i="3"/>
  <c r="AY22" i="3"/>
  <c r="AV22" i="3"/>
  <c r="AS22" i="3"/>
  <c r="AP22" i="3"/>
  <c r="BB21" i="3"/>
  <c r="AY21" i="3"/>
  <c r="AV21" i="3"/>
  <c r="AS21" i="3"/>
  <c r="AP21" i="3"/>
  <c r="BB20" i="3"/>
  <c r="AY20" i="3"/>
  <c r="AV20" i="3"/>
  <c r="AS20" i="3"/>
  <c r="AP20" i="3"/>
  <c r="BB19" i="3"/>
  <c r="AY19" i="3"/>
  <c r="AV19" i="3"/>
  <c r="AS19" i="3"/>
  <c r="AP19" i="3"/>
  <c r="BB18" i="3"/>
  <c r="AY18" i="3"/>
  <c r="AV18" i="3"/>
  <c r="AS18" i="3"/>
  <c r="AP18" i="3"/>
  <c r="BB17" i="3"/>
  <c r="AY17" i="3"/>
  <c r="AV17" i="3"/>
  <c r="AS17" i="3"/>
  <c r="AP17" i="3"/>
  <c r="BB16" i="3"/>
  <c r="AY16" i="3"/>
  <c r="AV16" i="3"/>
  <c r="AS16" i="3"/>
  <c r="AP16" i="3"/>
  <c r="BB15" i="3"/>
  <c r="AY15" i="3"/>
  <c r="AV15" i="3"/>
  <c r="AS15" i="3"/>
  <c r="AP15" i="3"/>
  <c r="BB5" i="3"/>
  <c r="AY5" i="3"/>
  <c r="AV5" i="3"/>
  <c r="AS5" i="3"/>
  <c r="AP5" i="3"/>
  <c r="BB106" i="3"/>
  <c r="AY113" i="3"/>
  <c r="AP115" i="3"/>
  <c r="AG106" i="3"/>
  <c r="AY111" i="3"/>
  <c r="AS107" i="3"/>
  <c r="AD112" i="3"/>
  <c r="AM109" i="3"/>
  <c r="AJ107" i="3"/>
  <c r="I15" i="27"/>
  <c r="I16" i="27"/>
  <c r="I17" i="27"/>
  <c r="I18" i="27"/>
  <c r="I19" i="27"/>
  <c r="I20" i="27"/>
  <c r="I21" i="27"/>
  <c r="I22" i="27"/>
  <c r="I23" i="27"/>
  <c r="I24" i="27"/>
  <c r="I25" i="27"/>
  <c r="I26" i="27"/>
  <c r="I27" i="27"/>
  <c r="I28" i="27"/>
  <c r="I29" i="27"/>
  <c r="I30" i="27"/>
  <c r="I31" i="27"/>
  <c r="I32" i="27"/>
  <c r="I33" i="27"/>
  <c r="I34" i="27"/>
  <c r="I35" i="27"/>
  <c r="I36" i="27"/>
  <c r="I37" i="27"/>
  <c r="I38" i="27"/>
  <c r="I39" i="27"/>
  <c r="I40" i="27"/>
  <c r="I41" i="27"/>
  <c r="I42" i="27"/>
  <c r="I43" i="27"/>
  <c r="I44" i="27"/>
  <c r="I45" i="27"/>
  <c r="I46" i="27"/>
  <c r="I47" i="27"/>
  <c r="C2" i="36"/>
  <c r="C3" i="36"/>
  <c r="E3" i="36"/>
  <c r="C4" i="36"/>
  <c r="E4" i="36"/>
  <c r="C5" i="36"/>
  <c r="E5" i="36"/>
  <c r="C6" i="36"/>
  <c r="E6" i="36"/>
  <c r="C7" i="36"/>
  <c r="E7" i="36"/>
  <c r="C8" i="36"/>
  <c r="E8" i="36"/>
  <c r="C9" i="36"/>
  <c r="E9" i="36"/>
  <c r="C10" i="36"/>
  <c r="E10" i="36"/>
  <c r="C11" i="36"/>
  <c r="E11" i="36"/>
  <c r="C12" i="36"/>
  <c r="E12" i="36"/>
  <c r="C13" i="36"/>
  <c r="E13" i="36"/>
  <c r="C14" i="36"/>
  <c r="E14" i="36"/>
  <c r="C15" i="36"/>
  <c r="E15" i="36"/>
  <c r="C16" i="36"/>
  <c r="E16" i="36"/>
  <c r="C17" i="36"/>
  <c r="E17" i="36"/>
  <c r="C18" i="36"/>
  <c r="E18" i="36"/>
  <c r="C19" i="36"/>
  <c r="E19" i="36"/>
  <c r="C20" i="36"/>
  <c r="E20" i="36"/>
  <c r="C21" i="36"/>
  <c r="E21" i="36"/>
  <c r="E23" i="32"/>
  <c r="H3" i="32"/>
  <c r="H4" i="32"/>
  <c r="H5" i="32"/>
  <c r="H6" i="32"/>
  <c r="H7" i="32"/>
  <c r="H8" i="32"/>
  <c r="H9" i="32"/>
  <c r="H10" i="32"/>
  <c r="H11" i="32"/>
  <c r="H12" i="32"/>
  <c r="H13" i="32"/>
  <c r="H14" i="32"/>
  <c r="H15" i="32"/>
  <c r="H16" i="32"/>
  <c r="H17" i="32"/>
  <c r="H18" i="32"/>
  <c r="H19" i="32"/>
  <c r="H20" i="32"/>
  <c r="H21" i="32"/>
  <c r="H22" i="32"/>
  <c r="H23" i="32"/>
  <c r="H24" i="28"/>
  <c r="J24" i="28" s="1"/>
  <c r="H19" i="28"/>
  <c r="J19" i="28" s="1"/>
  <c r="H14" i="28"/>
  <c r="J14" i="28" s="1"/>
  <c r="H9" i="28"/>
  <c r="J9" i="28"/>
  <c r="H25" i="28"/>
  <c r="J25" i="28"/>
  <c r="H27" i="28"/>
  <c r="H26" i="28"/>
  <c r="J26" i="28" s="1"/>
  <c r="H22" i="28"/>
  <c r="H21" i="28"/>
  <c r="J21" i="28" s="1"/>
  <c r="H20" i="28"/>
  <c r="J20" i="28" s="1"/>
  <c r="H17" i="28"/>
  <c r="H16" i="28"/>
  <c r="J16" i="28"/>
  <c r="H15" i="28"/>
  <c r="J15" i="28" s="1"/>
  <c r="H12" i="28"/>
  <c r="H11" i="28"/>
  <c r="J11" i="28" s="1"/>
  <c r="H10" i="28"/>
  <c r="J10" i="28"/>
  <c r="H7" i="28"/>
  <c r="H5" i="28"/>
  <c r="J5" i="28" s="1"/>
  <c r="H4" i="28"/>
  <c r="J4" i="28"/>
  <c r="BH54" i="3"/>
  <c r="BH53" i="3"/>
  <c r="BH52" i="3"/>
  <c r="BH51" i="3"/>
  <c r="BH50" i="3"/>
  <c r="BH49" i="3"/>
  <c r="BH48" i="3"/>
  <c r="BH47" i="3"/>
  <c r="BH46" i="3"/>
  <c r="BH45" i="3"/>
  <c r="BH44" i="3"/>
  <c r="BH43" i="3"/>
  <c r="BH42" i="3"/>
  <c r="BH41" i="3"/>
  <c r="BH40" i="3"/>
  <c r="BH39" i="3"/>
  <c r="BH38" i="3"/>
  <c r="BH37" i="3"/>
  <c r="BH36" i="3"/>
  <c r="BH35" i="3"/>
  <c r="BH34" i="3"/>
  <c r="BH33" i="3"/>
  <c r="BH32" i="3"/>
  <c r="BH31" i="3"/>
  <c r="BH30" i="3"/>
  <c r="BH29" i="3"/>
  <c r="BH28" i="3"/>
  <c r="BH27" i="3"/>
  <c r="BH26" i="3"/>
  <c r="BH25" i="3"/>
  <c r="BH24" i="3"/>
  <c r="BH23" i="3"/>
  <c r="BH22" i="3"/>
  <c r="BH21" i="3"/>
  <c r="BH20" i="3"/>
  <c r="BH19" i="3"/>
  <c r="BH18" i="3"/>
  <c r="BH17" i="3"/>
  <c r="BH16" i="3"/>
  <c r="BH15" i="3"/>
  <c r="BH5" i="3"/>
  <c r="BE108" i="3"/>
  <c r="BE54" i="3"/>
  <c r="BE53" i="3"/>
  <c r="BE52" i="3"/>
  <c r="BE51" i="3"/>
  <c r="BE50" i="3"/>
  <c r="BE49" i="3"/>
  <c r="BE48" i="3"/>
  <c r="BE47" i="3"/>
  <c r="BE46" i="3"/>
  <c r="BE45" i="3"/>
  <c r="BE44" i="3"/>
  <c r="BE43" i="3"/>
  <c r="BE42" i="3"/>
  <c r="BE41" i="3"/>
  <c r="BE40" i="3"/>
  <c r="BE39" i="3"/>
  <c r="BE38" i="3"/>
  <c r="BE37" i="3"/>
  <c r="BE36" i="3"/>
  <c r="BE35" i="3"/>
  <c r="BE34" i="3"/>
  <c r="BE33" i="3"/>
  <c r="BE32" i="3"/>
  <c r="BE31" i="3"/>
  <c r="BE30" i="3"/>
  <c r="BE29" i="3"/>
  <c r="BE28" i="3"/>
  <c r="BE27" i="3"/>
  <c r="BE26" i="3"/>
  <c r="BE25" i="3"/>
  <c r="BE24" i="3"/>
  <c r="BE23" i="3"/>
  <c r="BE22" i="3"/>
  <c r="BE21" i="3"/>
  <c r="BE20" i="3"/>
  <c r="BE19" i="3"/>
  <c r="BE18" i="3"/>
  <c r="BE17" i="3"/>
  <c r="BE16" i="3"/>
  <c r="BE15" i="3"/>
  <c r="BE5" i="3"/>
  <c r="BE111" i="3"/>
  <c r="E138" i="14"/>
  <c r="E137" i="14"/>
  <c r="E136" i="14"/>
  <c r="E135" i="14"/>
  <c r="E134" i="14"/>
  <c r="E133" i="14"/>
  <c r="E132" i="14"/>
  <c r="E131" i="14"/>
  <c r="E130" i="14"/>
  <c r="E129" i="14"/>
  <c r="E128" i="14"/>
  <c r="D128" i="14" s="1"/>
  <c r="E127" i="14"/>
  <c r="D127" i="14" s="1"/>
  <c r="E126" i="14"/>
  <c r="D126" i="14" s="1"/>
  <c r="E125" i="14"/>
  <c r="D125" i="14"/>
  <c r="E124" i="14"/>
  <c r="D124" i="14"/>
  <c r="E123" i="14"/>
  <c r="D123" i="14" s="1"/>
  <c r="E122" i="14"/>
  <c r="D122" i="14"/>
  <c r="E121" i="14"/>
  <c r="D121" i="14"/>
  <c r="E120" i="14"/>
  <c r="D120" i="14"/>
  <c r="E119" i="14"/>
  <c r="D119" i="14" s="1"/>
  <c r="E118" i="14"/>
  <c r="E117" i="14"/>
  <c r="D117" i="14" s="1"/>
  <c r="E116" i="14"/>
  <c r="E115" i="14"/>
  <c r="D115" i="14" s="1"/>
  <c r="E114" i="14"/>
  <c r="E113" i="14"/>
  <c r="D113" i="14" s="1"/>
  <c r="E112" i="14"/>
  <c r="E111" i="14"/>
  <c r="E110" i="14"/>
  <c r="E109" i="14"/>
  <c r="D109" i="14" s="1"/>
  <c r="E103" i="14"/>
  <c r="E102" i="14"/>
  <c r="E101" i="14"/>
  <c r="E100" i="14"/>
  <c r="E99" i="14"/>
  <c r="E98" i="14"/>
  <c r="E97" i="14"/>
  <c r="E96" i="14"/>
  <c r="E95" i="14"/>
  <c r="E94" i="14"/>
  <c r="E93" i="14"/>
  <c r="D93" i="14" s="1"/>
  <c r="E92" i="14"/>
  <c r="D92" i="14" s="1"/>
  <c r="E91" i="14"/>
  <c r="D91" i="14" s="1"/>
  <c r="E90" i="14"/>
  <c r="D90" i="14"/>
  <c r="E89" i="14"/>
  <c r="D89" i="14"/>
  <c r="E88" i="14"/>
  <c r="D88" i="14" s="1"/>
  <c r="E87" i="14"/>
  <c r="D87" i="14" s="1"/>
  <c r="E86" i="14"/>
  <c r="D86" i="14" s="1"/>
  <c r="E85" i="14"/>
  <c r="D85" i="14" s="1"/>
  <c r="E84" i="14"/>
  <c r="D84" i="14"/>
  <c r="E83" i="14"/>
  <c r="E82" i="14"/>
  <c r="E81" i="14"/>
  <c r="D81" i="14" s="1"/>
  <c r="E80" i="14"/>
  <c r="D80" i="14" s="1"/>
  <c r="E79" i="14"/>
  <c r="D79" i="14" s="1"/>
  <c r="E78" i="14"/>
  <c r="D78" i="14"/>
  <c r="E77" i="14"/>
  <c r="D77" i="14" s="1"/>
  <c r="E76" i="14"/>
  <c r="E75" i="14"/>
  <c r="D75" i="14" s="1"/>
  <c r="E74" i="14"/>
  <c r="E68" i="14"/>
  <c r="E67" i="14"/>
  <c r="E66" i="14"/>
  <c r="E65" i="14"/>
  <c r="E64" i="14"/>
  <c r="E63" i="14"/>
  <c r="E62" i="14"/>
  <c r="E61" i="14"/>
  <c r="E60" i="14"/>
  <c r="E59" i="14"/>
  <c r="E58" i="14"/>
  <c r="D58" i="14"/>
  <c r="E57" i="14"/>
  <c r="D57" i="14"/>
  <c r="E56" i="14"/>
  <c r="D56" i="14" s="1"/>
  <c r="E55" i="14"/>
  <c r="D55" i="14" s="1"/>
  <c r="E54" i="14"/>
  <c r="D54" i="14" s="1"/>
  <c r="E53" i="14"/>
  <c r="D53" i="14" s="1"/>
  <c r="E52" i="14"/>
  <c r="D52" i="14" s="1"/>
  <c r="E51" i="14"/>
  <c r="D51" i="14"/>
  <c r="E50" i="14"/>
  <c r="D50" i="14" s="1"/>
  <c r="E49" i="14"/>
  <c r="D49" i="14" s="1"/>
  <c r="E48" i="14"/>
  <c r="D48" i="14" s="1"/>
  <c r="E47" i="14"/>
  <c r="E46" i="14"/>
  <c r="D46" i="14" s="1"/>
  <c r="E45" i="14"/>
  <c r="E44" i="14"/>
  <c r="E43" i="14"/>
  <c r="E42" i="14"/>
  <c r="E41" i="14"/>
  <c r="E40" i="14"/>
  <c r="E39" i="14"/>
  <c r="D39" i="14" s="1"/>
  <c r="E33" i="14"/>
  <c r="E32" i="14"/>
  <c r="E31" i="14"/>
  <c r="E30" i="14"/>
  <c r="E29" i="14"/>
  <c r="E28" i="14"/>
  <c r="E27" i="14"/>
  <c r="E26" i="14"/>
  <c r="E25" i="14"/>
  <c r="E24" i="14"/>
  <c r="E23" i="14"/>
  <c r="D23" i="14" s="1"/>
  <c r="E22" i="14"/>
  <c r="D22" i="14" s="1"/>
  <c r="E21" i="14"/>
  <c r="D21" i="14"/>
  <c r="E20" i="14"/>
  <c r="D20" i="14" s="1"/>
  <c r="E19" i="14"/>
  <c r="D19" i="14" s="1"/>
  <c r="E18" i="14"/>
  <c r="D18" i="14" s="1"/>
  <c r="E17" i="14"/>
  <c r="D17" i="14"/>
  <c r="E16" i="14"/>
  <c r="D16" i="14" s="1"/>
  <c r="E15" i="14"/>
  <c r="D15" i="14" s="1"/>
  <c r="E14" i="14"/>
  <c r="D14" i="14" s="1"/>
  <c r="E13" i="14"/>
  <c r="E12" i="14"/>
  <c r="E11" i="14"/>
  <c r="E10" i="14"/>
  <c r="E9" i="14"/>
  <c r="E8" i="14"/>
  <c r="E7" i="14"/>
  <c r="E6" i="14"/>
  <c r="E5" i="14"/>
  <c r="E4" i="14"/>
  <c r="E3" i="18"/>
  <c r="E4" i="17"/>
  <c r="M27" i="11"/>
  <c r="L27" i="11"/>
  <c r="K27" i="11"/>
  <c r="J27" i="11"/>
  <c r="I27" i="11"/>
  <c r="H27" i="11"/>
  <c r="F8" i="4" s="1"/>
  <c r="G27" i="11"/>
  <c r="F27" i="11"/>
  <c r="E27" i="11"/>
  <c r="C5" i="6" s="1"/>
  <c r="D27" i="11"/>
  <c r="C4" i="6" s="1"/>
  <c r="M25" i="11"/>
  <c r="I13" i="4" s="1"/>
  <c r="L25" i="11"/>
  <c r="I12" i="4" s="1"/>
  <c r="K25" i="11"/>
  <c r="I11" i="4" s="1"/>
  <c r="J25" i="11"/>
  <c r="I10" i="6" s="1"/>
  <c r="I25" i="11"/>
  <c r="I9" i="4" s="1"/>
  <c r="H25" i="11"/>
  <c r="I8" i="4" s="1"/>
  <c r="G25" i="11"/>
  <c r="I7" i="4" s="1"/>
  <c r="F25" i="11"/>
  <c r="I6" i="6" s="1"/>
  <c r="E25" i="11"/>
  <c r="I5" i="4" s="1"/>
  <c r="M23" i="11"/>
  <c r="F13" i="6" s="1"/>
  <c r="L23" i="11"/>
  <c r="G12" i="4" s="1"/>
  <c r="K23" i="11"/>
  <c r="G11" i="4" s="1"/>
  <c r="J23" i="11"/>
  <c r="I23" i="11"/>
  <c r="F9" i="6" s="1"/>
  <c r="H23" i="11"/>
  <c r="G8" i="4" s="1"/>
  <c r="G23" i="11"/>
  <c r="G7" i="4" s="1"/>
  <c r="F23" i="11"/>
  <c r="F6" i="6" s="1"/>
  <c r="E23" i="11"/>
  <c r="F5" i="6" s="1"/>
  <c r="D23" i="11"/>
  <c r="F4" i="6" s="1"/>
  <c r="BN108" i="3"/>
  <c r="D111" i="14"/>
  <c r="D110" i="14"/>
  <c r="BQ54" i="3"/>
  <c r="BN54" i="3"/>
  <c r="BK54" i="3"/>
  <c r="I54" i="3"/>
  <c r="BQ53" i="3"/>
  <c r="BN53" i="3"/>
  <c r="BK53" i="3"/>
  <c r="I53" i="3"/>
  <c r="F53" i="3"/>
  <c r="BQ52" i="3"/>
  <c r="BN52" i="3"/>
  <c r="BK52" i="3"/>
  <c r="I52" i="3"/>
  <c r="BQ51" i="3"/>
  <c r="BN51" i="3"/>
  <c r="BK51" i="3"/>
  <c r="I51" i="3"/>
  <c r="F51" i="3"/>
  <c r="BQ50" i="3"/>
  <c r="BN50" i="3"/>
  <c r="BK50" i="3"/>
  <c r="I50" i="3"/>
  <c r="BQ49" i="3"/>
  <c r="BN49" i="3"/>
  <c r="BK49" i="3"/>
  <c r="I49" i="3"/>
  <c r="BQ48" i="3"/>
  <c r="BN48" i="3"/>
  <c r="BK48" i="3"/>
  <c r="I48" i="3"/>
  <c r="BQ47" i="3"/>
  <c r="BN47" i="3"/>
  <c r="BK47" i="3"/>
  <c r="I47" i="3"/>
  <c r="BQ46" i="3"/>
  <c r="BN46" i="3"/>
  <c r="BK46" i="3"/>
  <c r="I46" i="3"/>
  <c r="BQ45" i="3"/>
  <c r="BN45" i="3"/>
  <c r="BK45" i="3"/>
  <c r="I45" i="3"/>
  <c r="BQ44" i="3"/>
  <c r="BN44" i="3"/>
  <c r="BK44" i="3"/>
  <c r="I44" i="3"/>
  <c r="BQ43" i="3"/>
  <c r="BN43" i="3"/>
  <c r="BK43" i="3"/>
  <c r="I43" i="3"/>
  <c r="BQ42" i="3"/>
  <c r="BN42" i="3"/>
  <c r="BK42" i="3"/>
  <c r="I42" i="3"/>
  <c r="BQ41" i="3"/>
  <c r="BN41" i="3"/>
  <c r="BK41" i="3"/>
  <c r="I41" i="3"/>
  <c r="BQ40" i="3"/>
  <c r="BN40" i="3"/>
  <c r="BK40" i="3"/>
  <c r="I40" i="3"/>
  <c r="BQ39" i="3"/>
  <c r="BN39" i="3"/>
  <c r="BK39" i="3"/>
  <c r="I39" i="3"/>
  <c r="BQ38" i="3"/>
  <c r="BN38" i="3"/>
  <c r="BK38" i="3"/>
  <c r="I38" i="3"/>
  <c r="BQ37" i="3"/>
  <c r="BN37" i="3"/>
  <c r="BK37" i="3"/>
  <c r="I37" i="3"/>
  <c r="BQ36" i="3"/>
  <c r="BN36" i="3"/>
  <c r="BK36" i="3"/>
  <c r="I36" i="3"/>
  <c r="BQ35" i="3"/>
  <c r="BN35" i="3"/>
  <c r="BK35" i="3"/>
  <c r="I35" i="3"/>
  <c r="BQ34" i="3"/>
  <c r="BN34" i="3"/>
  <c r="BK34" i="3"/>
  <c r="I34" i="3"/>
  <c r="BQ33" i="3"/>
  <c r="BN33" i="3"/>
  <c r="BK33" i="3"/>
  <c r="I33" i="3"/>
  <c r="BQ32" i="3"/>
  <c r="BN32" i="3"/>
  <c r="BK32" i="3"/>
  <c r="I32" i="3"/>
  <c r="BQ31" i="3"/>
  <c r="BN31" i="3"/>
  <c r="BK31" i="3"/>
  <c r="I31" i="3"/>
  <c r="BQ30" i="3"/>
  <c r="BN30" i="3"/>
  <c r="BK30" i="3"/>
  <c r="I30" i="3"/>
  <c r="BQ29" i="3"/>
  <c r="BN29" i="3"/>
  <c r="BK29" i="3"/>
  <c r="I29" i="3"/>
  <c r="BQ28" i="3"/>
  <c r="BN28" i="3"/>
  <c r="BK28" i="3"/>
  <c r="I28" i="3"/>
  <c r="BQ27" i="3"/>
  <c r="BN27" i="3"/>
  <c r="BK27" i="3"/>
  <c r="I27" i="3"/>
  <c r="BQ26" i="3"/>
  <c r="BN26" i="3"/>
  <c r="BK26" i="3"/>
  <c r="I26" i="3"/>
  <c r="BQ25" i="3"/>
  <c r="BN25" i="3"/>
  <c r="BK25" i="3"/>
  <c r="I25" i="3"/>
  <c r="BN24" i="3"/>
  <c r="I24" i="3"/>
  <c r="BQ23" i="3"/>
  <c r="BN23" i="3"/>
  <c r="BQ113" i="3"/>
  <c r="BN22" i="3"/>
  <c r="BK22" i="3"/>
  <c r="BQ21" i="3"/>
  <c r="BQ20" i="3"/>
  <c r="BN20" i="3"/>
  <c r="I20" i="3"/>
  <c r="BN19" i="3"/>
  <c r="BK19" i="3"/>
  <c r="BN18" i="3"/>
  <c r="BK18" i="3"/>
  <c r="BQ5" i="3"/>
  <c r="BN5" i="3"/>
  <c r="BK5" i="3"/>
  <c r="I5" i="3"/>
  <c r="O14" i="6"/>
  <c r="L14" i="6"/>
  <c r="M14" i="4"/>
  <c r="K14" i="4"/>
  <c r="J14" i="4"/>
  <c r="L13" i="4"/>
  <c r="L12" i="4"/>
  <c r="L11" i="4"/>
  <c r="L10" i="4"/>
  <c r="L9" i="4"/>
  <c r="L8" i="4"/>
  <c r="L7" i="4"/>
  <c r="L6" i="4"/>
  <c r="L5" i="4"/>
  <c r="L4" i="4"/>
  <c r="BK15" i="3"/>
  <c r="BK16" i="3"/>
  <c r="BN17" i="3"/>
  <c r="BN21" i="3"/>
  <c r="I19" i="3"/>
  <c r="I23" i="3"/>
  <c r="I18" i="3"/>
  <c r="I22" i="3"/>
  <c r="D112" i="14"/>
  <c r="I15" i="3"/>
  <c r="I17" i="3"/>
  <c r="I21" i="3"/>
  <c r="F45" i="3"/>
  <c r="BK17" i="3"/>
  <c r="BQ17" i="3"/>
  <c r="BN109" i="3"/>
  <c r="BQ111" i="3"/>
  <c r="BQ18" i="3"/>
  <c r="BQ19" i="3"/>
  <c r="BK20" i="3"/>
  <c r="BK21" i="3"/>
  <c r="BQ22" i="3"/>
  <c r="BK23" i="3"/>
  <c r="BK24" i="3"/>
  <c r="BQ24" i="3"/>
  <c r="D5" i="14"/>
  <c r="BQ15" i="3"/>
  <c r="BQ16" i="3"/>
  <c r="I16" i="3"/>
  <c r="BN15" i="3"/>
  <c r="BN16" i="3"/>
  <c r="D25" i="11"/>
  <c r="I4" i="6" s="1"/>
  <c r="E25" i="17"/>
  <c r="AF14" i="20"/>
  <c r="BH108" i="3"/>
  <c r="BH111" i="3"/>
  <c r="BN114" i="3"/>
  <c r="A2" i="14"/>
  <c r="E22" i="32"/>
  <c r="E18" i="32"/>
  <c r="T19" i="37"/>
  <c r="T27" i="37"/>
  <c r="T14" i="37"/>
  <c r="T13" i="37"/>
  <c r="BH124" i="3"/>
  <c r="AP92" i="3"/>
  <c r="AA95" i="3"/>
  <c r="AG94" i="3"/>
  <c r="AJ116" i="3"/>
  <c r="U118" i="3"/>
  <c r="X88" i="3"/>
  <c r="R107" i="3"/>
  <c r="O122" i="3"/>
  <c r="X122" i="3"/>
  <c r="AA106" i="3"/>
  <c r="E7" i="32"/>
  <c r="T8" i="37"/>
  <c r="T9" i="37"/>
  <c r="T7" i="37"/>
  <c r="T21" i="37"/>
  <c r="T16" i="37"/>
  <c r="U10" i="29"/>
  <c r="U8" i="29"/>
  <c r="U4" i="29"/>
  <c r="AB84" i="3" l="1"/>
  <c r="AB82" i="3"/>
  <c r="G83" i="9"/>
  <c r="G87" i="9"/>
  <c r="G82" i="9"/>
  <c r="G84" i="9"/>
  <c r="G86" i="9"/>
  <c r="G88" i="9"/>
  <c r="G85" i="9"/>
  <c r="I6" i="9"/>
  <c r="I1" i="27"/>
  <c r="M77" i="3"/>
  <c r="E3" i="17"/>
  <c r="B8" i="35"/>
  <c r="B10" i="35"/>
  <c r="M47" i="29"/>
  <c r="M49" i="29"/>
  <c r="M50" i="29"/>
  <c r="F5" i="4"/>
  <c r="G6" i="9"/>
  <c r="G7" i="9"/>
  <c r="G8" i="9"/>
  <c r="F63" i="9"/>
  <c r="F45" i="9"/>
  <c r="F64" i="9"/>
  <c r="F43" i="9"/>
  <c r="F65" i="9"/>
  <c r="F44" i="9"/>
  <c r="F62" i="9"/>
  <c r="F66" i="9"/>
  <c r="F41" i="9"/>
  <c r="F46" i="9"/>
  <c r="F42" i="9"/>
  <c r="F61" i="9"/>
  <c r="G16" i="10"/>
  <c r="G15" i="10"/>
  <c r="G5" i="4"/>
  <c r="G11" i="11"/>
  <c r="M7" i="6" s="1"/>
  <c r="N7" i="6" s="1"/>
  <c r="M11" i="6"/>
  <c r="N11" i="6" s="1"/>
  <c r="K40" i="11"/>
  <c r="F11" i="11"/>
  <c r="M6" i="6" s="1"/>
  <c r="N6" i="6" s="1"/>
  <c r="H11" i="11"/>
  <c r="H40" i="11" s="1"/>
  <c r="D4" i="14"/>
  <c r="Q3" i="39"/>
  <c r="V3" i="39" s="1"/>
  <c r="T3" i="39"/>
  <c r="O3" i="39"/>
  <c r="U3" i="39" s="1"/>
  <c r="I4" i="32"/>
  <c r="I115" i="3"/>
  <c r="L109" i="3"/>
  <c r="D7" i="14"/>
  <c r="E122" i="3"/>
  <c r="D10" i="4" s="1"/>
  <c r="W10" i="4" s="1"/>
  <c r="L107" i="3"/>
  <c r="L121" i="3"/>
  <c r="D107" i="3"/>
  <c r="R5" i="6" s="1"/>
  <c r="F10" i="3"/>
  <c r="B11" i="35"/>
  <c r="B9" i="35"/>
  <c r="E6" i="32" s="1"/>
  <c r="B25" i="35"/>
  <c r="B20" i="35"/>
  <c r="B21" i="35"/>
  <c r="B12" i="35"/>
  <c r="B13" i="35"/>
  <c r="B17" i="35"/>
  <c r="B14" i="35"/>
  <c r="B18" i="35"/>
  <c r="B19" i="35"/>
  <c r="B22" i="35"/>
  <c r="B15" i="35"/>
  <c r="B23" i="35"/>
  <c r="B26" i="35"/>
  <c r="B1" i="34"/>
  <c r="B2" i="34" s="1"/>
  <c r="D6" i="32" s="1"/>
  <c r="BO76" i="3"/>
  <c r="G76" i="3"/>
  <c r="BF80" i="3"/>
  <c r="BC80" i="3"/>
  <c r="AZ80" i="3"/>
  <c r="AW81" i="3"/>
  <c r="AQ81" i="3"/>
  <c r="BI80" i="3"/>
  <c r="AH84" i="3"/>
  <c r="AN81" i="3"/>
  <c r="V82" i="3"/>
  <c r="BI77" i="3"/>
  <c r="Y79" i="3"/>
  <c r="BC77" i="3"/>
  <c r="BF83" i="3"/>
  <c r="S83" i="3"/>
  <c r="V78" i="3"/>
  <c r="V83" i="3"/>
  <c r="BL77" i="3"/>
  <c r="BC78" i="3"/>
  <c r="AW83" i="3"/>
  <c r="S78" i="3"/>
  <c r="V77" i="3"/>
  <c r="AZ78" i="3"/>
  <c r="AW84" i="3"/>
  <c r="S76" i="3"/>
  <c r="AT78" i="3"/>
  <c r="AT84" i="3"/>
  <c r="J78" i="3"/>
  <c r="S85" i="3"/>
  <c r="AQ78" i="3"/>
  <c r="AQ84" i="3"/>
  <c r="P85" i="3"/>
  <c r="Y85" i="3"/>
  <c r="BO77" i="3"/>
  <c r="AE82" i="3"/>
  <c r="AH78" i="3"/>
  <c r="AN84" i="3"/>
  <c r="Y84" i="3"/>
  <c r="AH81" i="3"/>
  <c r="Y83" i="3"/>
  <c r="V81" i="3"/>
  <c r="AE79" i="3"/>
  <c r="AK84" i="3"/>
  <c r="P83" i="3"/>
  <c r="P82" i="3"/>
  <c r="M81" i="3"/>
  <c r="M80" i="3"/>
  <c r="I91" i="3"/>
  <c r="AI4" i="20"/>
  <c r="L92" i="3"/>
  <c r="L122" i="3"/>
  <c r="AI17" i="20"/>
  <c r="AI16" i="20" s="1"/>
  <c r="L88" i="3"/>
  <c r="L87" i="3"/>
  <c r="L91" i="3"/>
  <c r="L120" i="3"/>
  <c r="L93" i="3"/>
  <c r="L123" i="3"/>
  <c r="L114" i="3"/>
  <c r="L112" i="3"/>
  <c r="F4" i="20"/>
  <c r="I94" i="3"/>
  <c r="D11" i="14"/>
  <c r="D9" i="14"/>
  <c r="I108" i="3"/>
  <c r="I123" i="3"/>
  <c r="I118" i="3"/>
  <c r="I114" i="3"/>
  <c r="I113" i="3"/>
  <c r="I93" i="3"/>
  <c r="I122" i="3"/>
  <c r="H5" i="4"/>
  <c r="I111" i="3"/>
  <c r="I88" i="3"/>
  <c r="D106" i="3"/>
  <c r="R4" i="6" s="1"/>
  <c r="U4" i="6" s="1"/>
  <c r="F55" i="3"/>
  <c r="G20" i="10"/>
  <c r="G17" i="10"/>
  <c r="G14" i="10"/>
  <c r="G12" i="10"/>
  <c r="I31" i="37"/>
  <c r="I23" i="37"/>
  <c r="I6" i="32"/>
  <c r="I46" i="9" s="1"/>
  <c r="E63" i="28"/>
  <c r="F83" i="28"/>
  <c r="F23" i="28"/>
  <c r="O91" i="30"/>
  <c r="P91" i="30" s="1"/>
  <c r="O228" i="30"/>
  <c r="P228" i="30" s="1"/>
  <c r="O244" i="30"/>
  <c r="P244" i="30" s="1"/>
  <c r="O252" i="30"/>
  <c r="P252" i="30" s="1"/>
  <c r="O260" i="30"/>
  <c r="P260" i="30" s="1"/>
  <c r="F33" i="28"/>
  <c r="F98" i="28"/>
  <c r="E43" i="28"/>
  <c r="E38" i="28"/>
  <c r="H20" i="10"/>
  <c r="G13" i="10"/>
  <c r="G8" i="10"/>
  <c r="G24" i="10"/>
  <c r="G23" i="10"/>
  <c r="G5" i="10"/>
  <c r="G19" i="10"/>
  <c r="E8" i="28"/>
  <c r="E103" i="28"/>
  <c r="O268" i="30"/>
  <c r="P268" i="30" s="1"/>
  <c r="O276" i="30"/>
  <c r="P276" i="30" s="1"/>
  <c r="O284" i="30"/>
  <c r="P284" i="30" s="1"/>
  <c r="O292" i="30"/>
  <c r="P292" i="30" s="1"/>
  <c r="E18" i="28"/>
  <c r="E3" i="28"/>
  <c r="G3" i="28" s="1"/>
  <c r="H3" i="28" s="1"/>
  <c r="J3" i="28" s="1"/>
  <c r="E48" i="28"/>
  <c r="E13" i="28"/>
  <c r="F93" i="28"/>
  <c r="E88" i="28"/>
  <c r="F58" i="28"/>
  <c r="O232" i="30"/>
  <c r="P232" i="30" s="1"/>
  <c r="O248" i="30"/>
  <c r="P248" i="30" s="1"/>
  <c r="O256" i="30"/>
  <c r="P256" i="30" s="1"/>
  <c r="O264" i="30"/>
  <c r="P264" i="30" s="1"/>
  <c r="O272" i="30"/>
  <c r="P272" i="30" s="1"/>
  <c r="O280" i="30"/>
  <c r="P280" i="30" s="1"/>
  <c r="F14" i="10"/>
  <c r="D127" i="3"/>
  <c r="P5" i="4" s="1"/>
  <c r="E53" i="28"/>
  <c r="BN86" i="3"/>
  <c r="O87" i="3"/>
  <c r="AJ88" i="3"/>
  <c r="O93" i="3"/>
  <c r="BH114" i="3"/>
  <c r="AM124" i="3"/>
  <c r="I106" i="3"/>
  <c r="E106" i="3"/>
  <c r="L108" i="3"/>
  <c r="O111" i="3"/>
  <c r="X112" i="3"/>
  <c r="E40" i="11"/>
  <c r="M5" i="6"/>
  <c r="N5" i="6" s="1"/>
  <c r="E19" i="32"/>
  <c r="S6" i="9"/>
  <c r="S7" i="9"/>
  <c r="AT2" i="3"/>
  <c r="S8" i="9"/>
  <c r="D131" i="3"/>
  <c r="P9" i="4" s="1"/>
  <c r="M40" i="11"/>
  <c r="BH87" i="3"/>
  <c r="BE88" i="3"/>
  <c r="BE92" i="3"/>
  <c r="AG93" i="3"/>
  <c r="AY95" i="3"/>
  <c r="AS106" i="3"/>
  <c r="AG121" i="3"/>
  <c r="AG125" i="3"/>
  <c r="L115" i="3"/>
  <c r="E119" i="3"/>
  <c r="D7" i="4" s="1"/>
  <c r="W7" i="4" s="1"/>
  <c r="D110" i="3"/>
  <c r="R8" i="6" s="1"/>
  <c r="BB88" i="3"/>
  <c r="BB89" i="3"/>
  <c r="BB119" i="3"/>
  <c r="BK123" i="3"/>
  <c r="O116" i="3"/>
  <c r="E17" i="32"/>
  <c r="Q13" i="9"/>
  <c r="Q6" i="9"/>
  <c r="Q8" i="9"/>
  <c r="V6" i="10"/>
  <c r="I40" i="11"/>
  <c r="M9" i="6"/>
  <c r="N9" i="6" s="1"/>
  <c r="P17" i="20"/>
  <c r="P16" i="20" s="1"/>
  <c r="E171" i="9"/>
  <c r="C20" i="39" s="1"/>
  <c r="G20" i="39" s="1"/>
  <c r="AJ86" i="3"/>
  <c r="AG87" i="3"/>
  <c r="AY108" i="3"/>
  <c r="AP109" i="3"/>
  <c r="AG109" i="3"/>
  <c r="BB111" i="3"/>
  <c r="G4" i="20"/>
  <c r="O109" i="3"/>
  <c r="D112" i="3"/>
  <c r="H10" i="4" s="1"/>
  <c r="U120" i="3"/>
  <c r="B1" i="33"/>
  <c r="B2" i="33" s="1"/>
  <c r="E16" i="32"/>
  <c r="D47" i="14"/>
  <c r="AZ17" i="20"/>
  <c r="AZ16" i="20" s="1"/>
  <c r="E15" i="32"/>
  <c r="D11" i="11"/>
  <c r="F61" i="3"/>
  <c r="E78" i="28"/>
  <c r="E20" i="32"/>
  <c r="D116" i="14"/>
  <c r="AY92" i="3"/>
  <c r="AA93" i="3"/>
  <c r="AS94" i="3"/>
  <c r="AY120" i="3"/>
  <c r="D122" i="3"/>
  <c r="C10" i="4" s="1"/>
  <c r="V10" i="4" s="1"/>
  <c r="X10" i="4" s="1"/>
  <c r="BQ125" i="3"/>
  <c r="L113" i="3"/>
  <c r="I125" i="3"/>
  <c r="I117" i="3"/>
  <c r="R125" i="3"/>
  <c r="Q11" i="9"/>
  <c r="Y5" i="10"/>
  <c r="Y11" i="10"/>
  <c r="I5" i="10"/>
  <c r="I9" i="10"/>
  <c r="M7" i="9"/>
  <c r="M11" i="9"/>
  <c r="M12" i="9"/>
  <c r="M13" i="9"/>
  <c r="M14" i="9"/>
  <c r="Y14" i="10"/>
  <c r="D14" i="20"/>
  <c r="I116" i="3"/>
  <c r="X13" i="10"/>
  <c r="X5" i="10"/>
  <c r="S9" i="9"/>
  <c r="Y13" i="10"/>
  <c r="AV92" i="3"/>
  <c r="BQ120" i="3"/>
  <c r="I124" i="3"/>
  <c r="AD123" i="3"/>
  <c r="F57" i="3"/>
  <c r="D71" i="3"/>
  <c r="BB86" i="3"/>
  <c r="AD86" i="3"/>
  <c r="AA87" i="3"/>
  <c r="BQ91" i="3"/>
  <c r="AA91" i="3"/>
  <c r="E116" i="3"/>
  <c r="D4" i="4" s="1"/>
  <c r="W4" i="4" s="1"/>
  <c r="AA123" i="3"/>
  <c r="AD122" i="3"/>
  <c r="U9" i="9"/>
  <c r="Z5" i="10"/>
  <c r="D86" i="3"/>
  <c r="D41" i="14"/>
  <c r="D43" i="14"/>
  <c r="AG108" i="3"/>
  <c r="BK109" i="3"/>
  <c r="AS110" i="3"/>
  <c r="AM113" i="3"/>
  <c r="O121" i="30"/>
  <c r="P121" i="30" s="1"/>
  <c r="D108" i="3"/>
  <c r="H6" i="4" s="1"/>
  <c r="B24" i="35"/>
  <c r="B16" i="35"/>
  <c r="U5" i="10"/>
  <c r="U12" i="10"/>
  <c r="U13" i="10"/>
  <c r="U14" i="10"/>
  <c r="AV86" i="3"/>
  <c r="AP88" i="3"/>
  <c r="AP93" i="3"/>
  <c r="BH95" i="3"/>
  <c r="O95" i="3"/>
  <c r="AY117" i="3"/>
  <c r="AV118" i="3"/>
  <c r="AY123" i="3"/>
  <c r="E115" i="3"/>
  <c r="S13" i="6" s="1"/>
  <c r="X114" i="3"/>
  <c r="L124" i="3"/>
  <c r="F13" i="10"/>
  <c r="I8" i="10"/>
  <c r="F7" i="3"/>
  <c r="I6" i="10"/>
  <c r="D69" i="3"/>
  <c r="X86" i="3"/>
  <c r="BN87" i="3"/>
  <c r="U89" i="3"/>
  <c r="AP90" i="3"/>
  <c r="AM91" i="3"/>
  <c r="BK92" i="3"/>
  <c r="AM92" i="3"/>
  <c r="BE95" i="3"/>
  <c r="AJ95" i="3"/>
  <c r="BN118" i="3"/>
  <c r="BE121" i="3"/>
  <c r="AG122" i="3"/>
  <c r="BK124" i="3"/>
  <c r="I107" i="3"/>
  <c r="I121" i="3"/>
  <c r="E112" i="3"/>
  <c r="S10" i="6" s="1"/>
  <c r="BQ116" i="3"/>
  <c r="BK120" i="3"/>
  <c r="AG123" i="3"/>
  <c r="I112" i="3"/>
  <c r="AA118" i="3"/>
  <c r="O10" i="10"/>
  <c r="G40" i="11"/>
  <c r="AH2" i="3"/>
  <c r="F13" i="3"/>
  <c r="F47" i="3"/>
  <c r="F59" i="3"/>
  <c r="AW78" i="3"/>
  <c r="AH82" i="3"/>
  <c r="AS86" i="3"/>
  <c r="AS87" i="3"/>
  <c r="BN88" i="3"/>
  <c r="AY90" i="3"/>
  <c r="AD90" i="3"/>
  <c r="BQ93" i="3"/>
  <c r="AD93" i="3"/>
  <c r="BQ94" i="3"/>
  <c r="BK108" i="3"/>
  <c r="BB108" i="3"/>
  <c r="AS109" i="3"/>
  <c r="BN110" i="3"/>
  <c r="BH113" i="3"/>
  <c r="AG115" i="3"/>
  <c r="AP117" i="3"/>
  <c r="AS118" i="3"/>
  <c r="BK119" i="3"/>
  <c r="AP119" i="3"/>
  <c r="AJ122" i="3"/>
  <c r="BB123" i="3"/>
  <c r="O110" i="3"/>
  <c r="U115" i="3"/>
  <c r="X111" i="3"/>
  <c r="AA114" i="3"/>
  <c r="AA124" i="3"/>
  <c r="M82" i="3"/>
  <c r="P84" i="3"/>
  <c r="S79" i="3"/>
  <c r="V80" i="3"/>
  <c r="Y81" i="3"/>
  <c r="K14" i="9"/>
  <c r="O195" i="30"/>
  <c r="P195" i="30" s="1"/>
  <c r="D13" i="14"/>
  <c r="AK78" i="3"/>
  <c r="AZ83" i="3"/>
  <c r="BK86" i="3"/>
  <c r="AA90" i="3"/>
  <c r="X92" i="3"/>
  <c r="X93" i="3"/>
  <c r="X95" i="3"/>
  <c r="AS108" i="3"/>
  <c r="BE110" i="3"/>
  <c r="AM111" i="3"/>
  <c r="BQ112" i="3"/>
  <c r="AG114" i="3"/>
  <c r="BK115" i="3"/>
  <c r="AP116" i="3"/>
  <c r="AM120" i="3"/>
  <c r="BB122" i="3"/>
  <c r="AV123" i="3"/>
  <c r="AV124" i="3"/>
  <c r="U114" i="3"/>
  <c r="X109" i="3"/>
  <c r="I119" i="3"/>
  <c r="R121" i="3"/>
  <c r="AD121" i="3"/>
  <c r="J83" i="3"/>
  <c r="M79" i="3"/>
  <c r="P79" i="3"/>
  <c r="I5" i="32"/>
  <c r="H66" i="9" s="1"/>
  <c r="AV113" i="3"/>
  <c r="E113" i="3"/>
  <c r="S11" i="6" s="1"/>
  <c r="D109" i="3"/>
  <c r="R7" i="6" s="1"/>
  <c r="AG112" i="3"/>
  <c r="F50" i="3"/>
  <c r="AH79" i="3"/>
  <c r="AZ84" i="3"/>
  <c r="D42" i="14"/>
  <c r="AS90" i="3"/>
  <c r="X90" i="3"/>
  <c r="U91" i="3"/>
  <c r="D93" i="3"/>
  <c r="U95" i="3"/>
  <c r="BE107" i="3"/>
  <c r="AV108" i="3"/>
  <c r="BQ109" i="3"/>
  <c r="BH110" i="3"/>
  <c r="AY110" i="3"/>
  <c r="BN115" i="3"/>
  <c r="BE115" i="3"/>
  <c r="AJ117" i="3"/>
  <c r="AJ120" i="3"/>
  <c r="AY122" i="3"/>
  <c r="AS124" i="3"/>
  <c r="AS125" i="3"/>
  <c r="E109" i="3"/>
  <c r="AA112" i="3"/>
  <c r="AD119" i="3"/>
  <c r="J76" i="3"/>
  <c r="O188" i="30"/>
  <c r="P188" i="30" s="1"/>
  <c r="I15" i="37"/>
  <c r="O11" i="9"/>
  <c r="W13" i="10"/>
  <c r="D6" i="14"/>
  <c r="D83" i="14"/>
  <c r="F63" i="3"/>
  <c r="D73" i="3"/>
  <c r="BF77" i="3"/>
  <c r="AT81" i="3"/>
  <c r="AE85" i="3"/>
  <c r="AD87" i="3"/>
  <c r="AY88" i="3"/>
  <c r="AG91" i="3"/>
  <c r="BB93" i="3"/>
  <c r="BB94" i="3"/>
  <c r="L94" i="3"/>
  <c r="BB95" i="3"/>
  <c r="AV109" i="3"/>
  <c r="AG113" i="3"/>
  <c r="BK114" i="3"/>
  <c r="AY116" i="3"/>
  <c r="AV117" i="3"/>
  <c r="BQ119" i="3"/>
  <c r="BE125" i="3"/>
  <c r="AJ125" i="3"/>
  <c r="O112" i="3"/>
  <c r="R115" i="3"/>
  <c r="D124" i="3"/>
  <c r="C12" i="4" s="1"/>
  <c r="V12" i="4" s="1"/>
  <c r="D119" i="3"/>
  <c r="C7" i="4" s="1"/>
  <c r="V7" i="4" s="1"/>
  <c r="AD118" i="3"/>
  <c r="AB85" i="3"/>
  <c r="O288" i="30"/>
  <c r="P288" i="30" s="1"/>
  <c r="O296" i="30"/>
  <c r="P296" i="30" s="1"/>
  <c r="R123" i="3"/>
  <c r="O192" i="30"/>
  <c r="P192" i="30" s="1"/>
  <c r="M55" i="29"/>
  <c r="M59" i="29"/>
  <c r="M63" i="29"/>
  <c r="M54" i="29"/>
  <c r="M57" i="29"/>
  <c r="M61" i="29"/>
  <c r="M44" i="29"/>
  <c r="M48" i="29"/>
  <c r="M52" i="29"/>
  <c r="M56" i="29"/>
  <c r="M60" i="29"/>
  <c r="I11" i="37"/>
  <c r="I54" i="37"/>
  <c r="I35" i="37"/>
  <c r="I27" i="37"/>
  <c r="I19" i="37"/>
  <c r="I10" i="37"/>
  <c r="C4" i="37"/>
  <c r="I32" i="37"/>
  <c r="I24" i="37"/>
  <c r="I7" i="37"/>
  <c r="T4" i="37" s="1"/>
  <c r="I39" i="37"/>
  <c r="I14" i="37"/>
  <c r="I5" i="37"/>
  <c r="I57" i="37"/>
  <c r="I56" i="37"/>
  <c r="I55" i="37"/>
  <c r="I61" i="37"/>
  <c r="I60" i="37"/>
  <c r="I52" i="37"/>
  <c r="I59" i="37"/>
  <c r="M62" i="29"/>
  <c r="M46" i="29"/>
  <c r="M43" i="29"/>
  <c r="M42" i="29"/>
  <c r="M58" i="29"/>
  <c r="AR4" i="20"/>
  <c r="D90" i="3"/>
  <c r="AS123" i="3"/>
  <c r="L89" i="3"/>
  <c r="AS116" i="3"/>
  <c r="BK117" i="3"/>
  <c r="J97" i="9"/>
  <c r="J88" i="9"/>
  <c r="J94" i="9"/>
  <c r="J85" i="9"/>
  <c r="J91" i="9"/>
  <c r="J82" i="9"/>
  <c r="J80" i="9"/>
  <c r="J102" i="9"/>
  <c r="J81" i="9"/>
  <c r="J96" i="9"/>
  <c r="J105" i="9"/>
  <c r="J90" i="9"/>
  <c r="J95" i="9"/>
  <c r="J122" i="9"/>
  <c r="J107" i="9"/>
  <c r="J123" i="9"/>
  <c r="J108" i="9"/>
  <c r="J89" i="9"/>
  <c r="J124" i="9"/>
  <c r="J109" i="9"/>
  <c r="J84" i="9"/>
  <c r="J79" i="9"/>
  <c r="J83" i="9"/>
  <c r="J87" i="9"/>
  <c r="J93" i="9"/>
  <c r="J120" i="9"/>
  <c r="J92" i="9"/>
  <c r="J98" i="9"/>
  <c r="J121" i="9"/>
  <c r="J106" i="9"/>
  <c r="J38" i="9"/>
  <c r="J129" i="9"/>
  <c r="J100" i="9"/>
  <c r="J42" i="9"/>
  <c r="J66" i="9"/>
  <c r="J63" i="9"/>
  <c r="J64" i="9"/>
  <c r="J65" i="9"/>
  <c r="J86" i="9"/>
  <c r="J128" i="9"/>
  <c r="J104" i="9"/>
  <c r="J126" i="9"/>
  <c r="J6" i="9"/>
  <c r="J43" i="9"/>
  <c r="J103" i="9"/>
  <c r="J45" i="9"/>
  <c r="J61" i="9"/>
  <c r="J10" i="9"/>
  <c r="J127" i="9"/>
  <c r="J101" i="9"/>
  <c r="J58" i="9"/>
  <c r="J40" i="9"/>
  <c r="J60" i="9"/>
  <c r="J14" i="9"/>
  <c r="J125" i="9"/>
  <c r="J44" i="9"/>
  <c r="J46" i="9"/>
  <c r="J37" i="9"/>
  <c r="J57" i="9"/>
  <c r="J59" i="9"/>
  <c r="J62" i="9"/>
  <c r="J39" i="9"/>
  <c r="J41" i="9"/>
  <c r="J7" i="9"/>
  <c r="J8" i="9"/>
  <c r="J9" i="9"/>
  <c r="J11" i="9"/>
  <c r="J12" i="9"/>
  <c r="J13" i="9"/>
  <c r="J15" i="9"/>
  <c r="O121" i="3"/>
  <c r="E121" i="3"/>
  <c r="D9" i="4" s="1"/>
  <c r="W9" i="4" s="1"/>
  <c r="Y97" i="9"/>
  <c r="Y88" i="9"/>
  <c r="Y94" i="9"/>
  <c r="Y85" i="9"/>
  <c r="Y91" i="9"/>
  <c r="Y82" i="9"/>
  <c r="Y79" i="9"/>
  <c r="Y120" i="9"/>
  <c r="Y126" i="9"/>
  <c r="Y44" i="9"/>
  <c r="Y122" i="9"/>
  <c r="Y107" i="9"/>
  <c r="Y58" i="9"/>
  <c r="Y62" i="9"/>
  <c r="Y66" i="9"/>
  <c r="Y83" i="9"/>
  <c r="Y87" i="9"/>
  <c r="Y93" i="9"/>
  <c r="Y124" i="9"/>
  <c r="Y109" i="9"/>
  <c r="Y125" i="9"/>
  <c r="Y86" i="9"/>
  <c r="Y92" i="9"/>
  <c r="Y127" i="9"/>
  <c r="Y59" i="9"/>
  <c r="Y63" i="9"/>
  <c r="Y98" i="9"/>
  <c r="Y96" i="9"/>
  <c r="Y81" i="9"/>
  <c r="Y90" i="9"/>
  <c r="Y95" i="9"/>
  <c r="Y9" i="9"/>
  <c r="Y64" i="9"/>
  <c r="Y65" i="9"/>
  <c r="Y89" i="9"/>
  <c r="Y84" i="9"/>
  <c r="Y123" i="9"/>
  <c r="Y103" i="9"/>
  <c r="Y108" i="9"/>
  <c r="Y40" i="9"/>
  <c r="Y45" i="9"/>
  <c r="Y60" i="9"/>
  <c r="Y61" i="9"/>
  <c r="Y80" i="9"/>
  <c r="Y102" i="9"/>
  <c r="Y104" i="9"/>
  <c r="Y106" i="9"/>
  <c r="Y42" i="9"/>
  <c r="Y46" i="9"/>
  <c r="Y57" i="9"/>
  <c r="Y128" i="9"/>
  <c r="Y37" i="9"/>
  <c r="Y39" i="9"/>
  <c r="Y100" i="9"/>
  <c r="Y6" i="9"/>
  <c r="Y121" i="9"/>
  <c r="Y41" i="9"/>
  <c r="Y105" i="9"/>
  <c r="Y43" i="9"/>
  <c r="Y11" i="9"/>
  <c r="Y101" i="9"/>
  <c r="Y129" i="9"/>
  <c r="Y38" i="9"/>
  <c r="Y10" i="9"/>
  <c r="Y12" i="9"/>
  <c r="Y13" i="9"/>
  <c r="Y14" i="9"/>
  <c r="Y15" i="9"/>
  <c r="Y7" i="9"/>
  <c r="Y8" i="9"/>
  <c r="AH17" i="20"/>
  <c r="AH16" i="20" s="1"/>
  <c r="D117" i="3"/>
  <c r="C5" i="4" s="1"/>
  <c r="V5" i="4" s="1"/>
  <c r="F17" i="20"/>
  <c r="F16" i="20" s="1"/>
  <c r="R86" i="3"/>
  <c r="D89" i="3"/>
  <c r="BB90" i="3"/>
  <c r="AM93" i="3"/>
  <c r="AS121" i="3"/>
  <c r="L111" i="3"/>
  <c r="D111" i="3"/>
  <c r="I4" i="20"/>
  <c r="AK4" i="20"/>
  <c r="F40" i="11"/>
  <c r="D88" i="3"/>
  <c r="O17" i="20"/>
  <c r="O16" i="20" s="1"/>
  <c r="F12" i="3"/>
  <c r="D74" i="3"/>
  <c r="E89" i="3"/>
  <c r="I89" i="3"/>
  <c r="D114" i="3"/>
  <c r="E73" i="28"/>
  <c r="X88" i="9"/>
  <c r="X94" i="9"/>
  <c r="X85" i="9"/>
  <c r="X91" i="9"/>
  <c r="X82" i="9"/>
  <c r="X79" i="9"/>
  <c r="X96" i="9"/>
  <c r="X103" i="9"/>
  <c r="X83" i="9"/>
  <c r="X87" i="9"/>
  <c r="X123" i="9"/>
  <c r="X108" i="9"/>
  <c r="X93" i="9"/>
  <c r="X125" i="9"/>
  <c r="X86" i="9"/>
  <c r="X92" i="9"/>
  <c r="X126" i="9"/>
  <c r="X127" i="9"/>
  <c r="X59" i="9"/>
  <c r="X63" i="9"/>
  <c r="X98" i="9"/>
  <c r="X120" i="9"/>
  <c r="X128" i="9"/>
  <c r="X37" i="9"/>
  <c r="X97" i="9"/>
  <c r="X81" i="9"/>
  <c r="X90" i="9"/>
  <c r="X95" i="9"/>
  <c r="X64" i="9"/>
  <c r="X65" i="9"/>
  <c r="X66" i="9"/>
  <c r="X15" i="9"/>
  <c r="X124" i="9"/>
  <c r="X104" i="9"/>
  <c r="X109" i="9"/>
  <c r="X41" i="9"/>
  <c r="X46" i="9"/>
  <c r="X89" i="9"/>
  <c r="X84" i="9"/>
  <c r="X39" i="9"/>
  <c r="X80" i="9"/>
  <c r="X122" i="9"/>
  <c r="X102" i="9"/>
  <c r="X60" i="9"/>
  <c r="X9" i="9"/>
  <c r="X57" i="9"/>
  <c r="X100" i="9"/>
  <c r="X13" i="9"/>
  <c r="X121" i="9"/>
  <c r="X62" i="9"/>
  <c r="X105" i="9"/>
  <c r="X107" i="9"/>
  <c r="X43" i="9"/>
  <c r="X101" i="9"/>
  <c r="X45" i="9"/>
  <c r="X129" i="9"/>
  <c r="X38" i="9"/>
  <c r="X58" i="9"/>
  <c r="X61" i="9"/>
  <c r="X40" i="9"/>
  <c r="X106" i="9"/>
  <c r="X42" i="9"/>
  <c r="X44" i="9"/>
  <c r="X6" i="9"/>
  <c r="X7" i="9"/>
  <c r="X8" i="9"/>
  <c r="X10" i="9"/>
  <c r="X11" i="9"/>
  <c r="X12" i="9"/>
  <c r="X14" i="9"/>
  <c r="Z97" i="9"/>
  <c r="Z88" i="9"/>
  <c r="Z94" i="9"/>
  <c r="Z85" i="9"/>
  <c r="Z91" i="9"/>
  <c r="Z82" i="9"/>
  <c r="Z80" i="9"/>
  <c r="Z102" i="9"/>
  <c r="Z81" i="9"/>
  <c r="Z121" i="9"/>
  <c r="Z106" i="9"/>
  <c r="Z79" i="9"/>
  <c r="Z83" i="9"/>
  <c r="Z87" i="9"/>
  <c r="Z123" i="9"/>
  <c r="Z108" i="9"/>
  <c r="Z93" i="9"/>
  <c r="Z124" i="9"/>
  <c r="Z109" i="9"/>
  <c r="Z125" i="9"/>
  <c r="Z126" i="9"/>
  <c r="Z86" i="9"/>
  <c r="Z92" i="9"/>
  <c r="Z120" i="9"/>
  <c r="Z98" i="9"/>
  <c r="Z96" i="9"/>
  <c r="Z129" i="9"/>
  <c r="Z100" i="9"/>
  <c r="Z105" i="9"/>
  <c r="Z42" i="9"/>
  <c r="Z66" i="9"/>
  <c r="Z89" i="9"/>
  <c r="Z62" i="9"/>
  <c r="Z84" i="9"/>
  <c r="Z127" i="9"/>
  <c r="Z103" i="9"/>
  <c r="Z40" i="9"/>
  <c r="Z45" i="9"/>
  <c r="Z59" i="9"/>
  <c r="Z60" i="9"/>
  <c r="Z61" i="9"/>
  <c r="Z90" i="9"/>
  <c r="Z95" i="9"/>
  <c r="Z122" i="9"/>
  <c r="Z44" i="9"/>
  <c r="Z12" i="9"/>
  <c r="Z104" i="9"/>
  <c r="Z46" i="9"/>
  <c r="Z57" i="9"/>
  <c r="Z128" i="9"/>
  <c r="Z37" i="9"/>
  <c r="Z39" i="9"/>
  <c r="Z65" i="9"/>
  <c r="Z41" i="9"/>
  <c r="Z107" i="9"/>
  <c r="Z43" i="9"/>
  <c r="Z64" i="9"/>
  <c r="Z101" i="9"/>
  <c r="Z38" i="9"/>
  <c r="Z58" i="9"/>
  <c r="Z63" i="9"/>
  <c r="Z6" i="9"/>
  <c r="Z7" i="9"/>
  <c r="Z8" i="9"/>
  <c r="Z9" i="9"/>
  <c r="Z10" i="9"/>
  <c r="Z11" i="9"/>
  <c r="Z13" i="9"/>
  <c r="W85" i="9"/>
  <c r="W91" i="9"/>
  <c r="W82" i="9"/>
  <c r="W79" i="9"/>
  <c r="W98" i="9"/>
  <c r="W95" i="9"/>
  <c r="W87" i="9"/>
  <c r="W93" i="9"/>
  <c r="W127" i="9"/>
  <c r="W37" i="9"/>
  <c r="W45" i="9"/>
  <c r="W124" i="9"/>
  <c r="W109" i="9"/>
  <c r="W86" i="9"/>
  <c r="W92" i="9"/>
  <c r="W126" i="9"/>
  <c r="W59" i="9"/>
  <c r="W63" i="9"/>
  <c r="W120" i="9"/>
  <c r="W128" i="9"/>
  <c r="W129" i="9"/>
  <c r="W38" i="9"/>
  <c r="W97" i="9"/>
  <c r="W96" i="9"/>
  <c r="W81" i="9"/>
  <c r="W90" i="9"/>
  <c r="W89" i="9"/>
  <c r="W88" i="9"/>
  <c r="W104" i="9"/>
  <c r="W41" i="9"/>
  <c r="W46" i="9"/>
  <c r="W83" i="9"/>
  <c r="W84" i="9"/>
  <c r="W94" i="9"/>
  <c r="W39" i="9"/>
  <c r="W80" i="9"/>
  <c r="W122" i="9"/>
  <c r="W102" i="9"/>
  <c r="W107" i="9"/>
  <c r="W44" i="9"/>
  <c r="W58" i="9"/>
  <c r="W121" i="9"/>
  <c r="W57" i="9"/>
  <c r="W108" i="9"/>
  <c r="W100" i="9"/>
  <c r="W123" i="9"/>
  <c r="W65" i="9"/>
  <c r="W62" i="9"/>
  <c r="W105" i="9"/>
  <c r="W43" i="9"/>
  <c r="W101" i="9"/>
  <c r="W8" i="9"/>
  <c r="W103" i="9"/>
  <c r="W64" i="9"/>
  <c r="W61" i="9"/>
  <c r="W40" i="9"/>
  <c r="W106" i="9"/>
  <c r="W42" i="9"/>
  <c r="W125" i="9"/>
  <c r="W60" i="9"/>
  <c r="W66" i="9"/>
  <c r="W11" i="9"/>
  <c r="W12" i="9"/>
  <c r="W13" i="9"/>
  <c r="W14" i="9"/>
  <c r="W15" i="9"/>
  <c r="W6" i="9"/>
  <c r="W7" i="9"/>
  <c r="W9" i="9"/>
  <c r="W10" i="9"/>
  <c r="BN94" i="3"/>
  <c r="L17" i="20"/>
  <c r="L16" i="20" s="1"/>
  <c r="AN17" i="20"/>
  <c r="AN16" i="20" s="1"/>
  <c r="F11" i="3"/>
  <c r="F8" i="3"/>
  <c r="F64" i="3"/>
  <c r="BE87" i="3"/>
  <c r="E114" i="3"/>
  <c r="E10" i="32"/>
  <c r="E14" i="32"/>
  <c r="E12" i="32"/>
  <c r="E13" i="32"/>
  <c r="E11" i="32"/>
  <c r="E9" i="32"/>
  <c r="Z61" i="10"/>
  <c r="Z58" i="10"/>
  <c r="Z65" i="10"/>
  <c r="Z63" i="10"/>
  <c r="Z59" i="10"/>
  <c r="Z17" i="10"/>
  <c r="Z64" i="10"/>
  <c r="Z57" i="10"/>
  <c r="Z62" i="10"/>
  <c r="Z56" i="10"/>
  <c r="Z20" i="10"/>
  <c r="Z10" i="10"/>
  <c r="Z21" i="10"/>
  <c r="Z60" i="10"/>
  <c r="Z6" i="10"/>
  <c r="Z15" i="10"/>
  <c r="Z16" i="10"/>
  <c r="Z18" i="10"/>
  <c r="Z11" i="10"/>
  <c r="Z19" i="10"/>
  <c r="Z22" i="10"/>
  <c r="Z23" i="10"/>
  <c r="Z24" i="10"/>
  <c r="Z8" i="10"/>
  <c r="Z9" i="10"/>
  <c r="Z12" i="10"/>
  <c r="Z13" i="10"/>
  <c r="Z14" i="10"/>
  <c r="J61" i="10"/>
  <c r="J58" i="10"/>
  <c r="J65" i="10"/>
  <c r="J63" i="10"/>
  <c r="J56" i="10"/>
  <c r="J60" i="10"/>
  <c r="J59" i="10"/>
  <c r="J64" i="10"/>
  <c r="J10" i="10"/>
  <c r="J57" i="10"/>
  <c r="J62" i="10"/>
  <c r="J20" i="10"/>
  <c r="J21" i="10"/>
  <c r="J22" i="10"/>
  <c r="J23" i="10"/>
  <c r="J24" i="10"/>
  <c r="J5" i="10"/>
  <c r="J9" i="10"/>
  <c r="J15" i="10"/>
  <c r="J16" i="10"/>
  <c r="J17" i="10"/>
  <c r="J18" i="10"/>
  <c r="J19" i="10"/>
  <c r="J6" i="10"/>
  <c r="J7" i="10"/>
  <c r="J8" i="10"/>
  <c r="J11" i="10"/>
  <c r="J12" i="10"/>
  <c r="J13" i="10"/>
  <c r="J14" i="10"/>
  <c r="AA108" i="3"/>
  <c r="AY4" i="20" s="1"/>
  <c r="AX4" i="20"/>
  <c r="V4" i="20"/>
  <c r="X124" i="3"/>
  <c r="E124" i="3"/>
  <c r="D12" i="4" s="1"/>
  <c r="W12" i="4" s="1"/>
  <c r="R90" i="3"/>
  <c r="X110" i="3"/>
  <c r="AU4" i="20"/>
  <c r="BK93" i="3"/>
  <c r="AV116" i="3"/>
  <c r="I109" i="3"/>
  <c r="D123" i="3"/>
  <c r="C11" i="4" s="1"/>
  <c r="V11" i="4" s="1"/>
  <c r="U119" i="3"/>
  <c r="Q17" i="20" s="1"/>
  <c r="Q16" i="20" s="1"/>
  <c r="M41" i="29"/>
  <c r="U20" i="29"/>
  <c r="K2" i="29"/>
  <c r="D41" i="29"/>
  <c r="E117" i="3"/>
  <c r="D5" i="4" s="1"/>
  <c r="W5" i="4" s="1"/>
  <c r="D115" i="3"/>
  <c r="J4" i="20"/>
  <c r="E108" i="3"/>
  <c r="AK17" i="20"/>
  <c r="AK16" i="20" s="1"/>
  <c r="I17" i="20"/>
  <c r="I16" i="20" s="1"/>
  <c r="E123" i="3"/>
  <c r="D11" i="4" s="1"/>
  <c r="W11" i="4" s="1"/>
  <c r="E95" i="3"/>
  <c r="E68" i="28"/>
  <c r="F62" i="3"/>
  <c r="BK89" i="3"/>
  <c r="BB92" i="3"/>
  <c r="E92" i="3"/>
  <c r="D126" i="3"/>
  <c r="P4" i="4" s="1"/>
  <c r="D134" i="3"/>
  <c r="P12" i="4" s="1"/>
  <c r="U79" i="9"/>
  <c r="U98" i="9"/>
  <c r="U95" i="9"/>
  <c r="U86" i="9"/>
  <c r="U92" i="9"/>
  <c r="U83" i="9"/>
  <c r="U89" i="9"/>
  <c r="U81" i="9"/>
  <c r="U128" i="9"/>
  <c r="U38" i="9"/>
  <c r="U46" i="9"/>
  <c r="U82" i="9"/>
  <c r="U126" i="9"/>
  <c r="U59" i="9"/>
  <c r="U63" i="9"/>
  <c r="U120" i="9"/>
  <c r="U129" i="9"/>
  <c r="U37" i="9"/>
  <c r="U39" i="9"/>
  <c r="U40" i="9"/>
  <c r="U60" i="9"/>
  <c r="U64" i="9"/>
  <c r="U97" i="9"/>
  <c r="U91" i="9"/>
  <c r="U96" i="9"/>
  <c r="U85" i="9"/>
  <c r="U90" i="9"/>
  <c r="U80" i="9"/>
  <c r="U84" i="9"/>
  <c r="U88" i="9"/>
  <c r="U61" i="9"/>
  <c r="U62" i="9"/>
  <c r="U93" i="9"/>
  <c r="U94" i="9"/>
  <c r="U122" i="9"/>
  <c r="U127" i="9"/>
  <c r="U102" i="9"/>
  <c r="U107" i="9"/>
  <c r="U44" i="9"/>
  <c r="U58" i="9"/>
  <c r="U57" i="9"/>
  <c r="U121" i="9"/>
  <c r="U101" i="9"/>
  <c r="U100" i="9"/>
  <c r="U13" i="9"/>
  <c r="U123" i="9"/>
  <c r="U65" i="9"/>
  <c r="U105" i="9"/>
  <c r="U41" i="9"/>
  <c r="U43" i="9"/>
  <c r="U87" i="9"/>
  <c r="U103" i="9"/>
  <c r="U45" i="9"/>
  <c r="U124" i="9"/>
  <c r="U109" i="9"/>
  <c r="U106" i="9"/>
  <c r="U42" i="9"/>
  <c r="U66" i="9"/>
  <c r="U125" i="9"/>
  <c r="U104" i="9"/>
  <c r="U108" i="9"/>
  <c r="U11" i="9"/>
  <c r="U12" i="9"/>
  <c r="U14" i="9"/>
  <c r="U15" i="9"/>
  <c r="U6" i="9"/>
  <c r="U7" i="9"/>
  <c r="U8" i="9"/>
  <c r="AZ2" i="3"/>
  <c r="C28" i="37"/>
  <c r="J40" i="11"/>
  <c r="M10" i="6"/>
  <c r="N10" i="6" s="1"/>
  <c r="U107" i="3"/>
  <c r="F28" i="28"/>
  <c r="E28" i="28"/>
  <c r="D120" i="3"/>
  <c r="C8" i="4" s="1"/>
  <c r="V8" i="4" s="1"/>
  <c r="E91" i="3"/>
  <c r="F60" i="3"/>
  <c r="D72" i="3"/>
  <c r="D91" i="3"/>
  <c r="D133" i="3"/>
  <c r="P11" i="4" s="1"/>
  <c r="S20" i="37"/>
  <c r="V20" i="37" s="1"/>
  <c r="L40" i="11"/>
  <c r="M12" i="6"/>
  <c r="N12" i="6" s="1"/>
  <c r="F58" i="3"/>
  <c r="D75" i="3"/>
  <c r="E86" i="3"/>
  <c r="D87" i="3"/>
  <c r="E88" i="3"/>
  <c r="D94" i="3"/>
  <c r="AX17" i="20"/>
  <c r="AX16" i="20" s="1"/>
  <c r="V17" i="20"/>
  <c r="V16" i="20" s="1"/>
  <c r="O90" i="3"/>
  <c r="U93" i="3"/>
  <c r="E93" i="3"/>
  <c r="E120" i="3"/>
  <c r="D8" i="4" s="1"/>
  <c r="I120" i="3"/>
  <c r="D116" i="3"/>
  <c r="C4" i="4" s="1"/>
  <c r="D118" i="14"/>
  <c r="F56" i="3"/>
  <c r="I87" i="3"/>
  <c r="AS91" i="3"/>
  <c r="E94" i="3"/>
  <c r="D12" i="14"/>
  <c r="D95" i="3"/>
  <c r="L95" i="3"/>
  <c r="D132" i="3"/>
  <c r="P10" i="4" s="1"/>
  <c r="AN4" i="20"/>
  <c r="AQ17" i="20"/>
  <c r="AQ16" i="20" s="1"/>
  <c r="S2" i="3"/>
  <c r="D44" i="14"/>
  <c r="D74" i="14"/>
  <c r="D66" i="3"/>
  <c r="D68" i="3"/>
  <c r="AK76" i="3"/>
  <c r="BL80" i="3"/>
  <c r="BC83" i="3"/>
  <c r="AV94" i="3"/>
  <c r="R113" i="3"/>
  <c r="D113" i="3"/>
  <c r="R106" i="3"/>
  <c r="M4" i="20"/>
  <c r="AO4" i="20"/>
  <c r="X4" i="20"/>
  <c r="AZ4" i="20"/>
  <c r="X118" i="3"/>
  <c r="AU17" i="20"/>
  <c r="AU16" i="20" s="1"/>
  <c r="E118" i="3"/>
  <c r="D6" i="4" s="1"/>
  <c r="W6" i="4" s="1"/>
  <c r="J77" i="3"/>
  <c r="M78" i="3"/>
  <c r="P81" i="3"/>
  <c r="S77" i="3"/>
  <c r="V79" i="3"/>
  <c r="Y82" i="3"/>
  <c r="L117" i="3"/>
  <c r="M17" i="20"/>
  <c r="M16" i="20" s="1"/>
  <c r="R116" i="3"/>
  <c r="AO17" i="20"/>
  <c r="AO16" i="20" s="1"/>
  <c r="X123" i="3"/>
  <c r="E90" i="3"/>
  <c r="D135" i="3"/>
  <c r="P13" i="4" s="1"/>
  <c r="AH4" i="20"/>
  <c r="L110" i="3"/>
  <c r="AG92" i="3"/>
  <c r="AL17" i="20"/>
  <c r="AL16" i="20" s="1"/>
  <c r="C11" i="11"/>
  <c r="S17" i="20"/>
  <c r="S16" i="20" s="1"/>
  <c r="D118" i="3"/>
  <c r="C6" i="4" s="1"/>
  <c r="V6" i="4" s="1"/>
  <c r="R17" i="20"/>
  <c r="R16" i="20" s="1"/>
  <c r="AT17" i="20"/>
  <c r="AT16" i="20" s="1"/>
  <c r="X117" i="3"/>
  <c r="AB76" i="3"/>
  <c r="V84" i="3"/>
  <c r="S80" i="3"/>
  <c r="P76" i="3"/>
  <c r="J84" i="3"/>
  <c r="AB77" i="3"/>
  <c r="V85" i="3"/>
  <c r="S81" i="3"/>
  <c r="P77" i="3"/>
  <c r="J85" i="3"/>
  <c r="AB78" i="3"/>
  <c r="S82" i="3"/>
  <c r="P78" i="3"/>
  <c r="AB80" i="3"/>
  <c r="Y76" i="3"/>
  <c r="S84" i="3"/>
  <c r="P80" i="3"/>
  <c r="M76" i="3"/>
  <c r="M83" i="3"/>
  <c r="J79" i="3"/>
  <c r="BF85" i="3"/>
  <c r="BI84" i="3"/>
  <c r="BI83" i="3"/>
  <c r="BI82" i="3"/>
  <c r="BI81" i="3"/>
  <c r="BO80" i="3"/>
  <c r="BO79" i="3"/>
  <c r="G77" i="3"/>
  <c r="M84" i="3"/>
  <c r="J80" i="3"/>
  <c r="BI85" i="3"/>
  <c r="BL84" i="3"/>
  <c r="BL83" i="3"/>
  <c r="BL82" i="3"/>
  <c r="BL81" i="3"/>
  <c r="G78" i="3"/>
  <c r="M85" i="3"/>
  <c r="J81" i="3"/>
  <c r="BL85" i="3"/>
  <c r="BO84" i="3"/>
  <c r="BO83" i="3"/>
  <c r="BO82" i="3"/>
  <c r="BO81" i="3"/>
  <c r="G79" i="3"/>
  <c r="AE77" i="3"/>
  <c r="AE76" i="3"/>
  <c r="J82" i="3"/>
  <c r="BO85" i="3"/>
  <c r="G83" i="3"/>
  <c r="G82" i="3"/>
  <c r="G81" i="3"/>
  <c r="G80" i="3"/>
  <c r="AE78" i="3"/>
  <c r="AH77" i="3"/>
  <c r="AH76" i="3"/>
  <c r="AB81" i="3"/>
  <c r="Y78" i="3"/>
  <c r="AE84" i="3"/>
  <c r="AK81" i="3"/>
  <c r="AK80" i="3"/>
  <c r="AK79" i="3"/>
  <c r="AN78" i="3"/>
  <c r="AQ77" i="3"/>
  <c r="AQ76" i="3"/>
  <c r="AB83" i="3"/>
  <c r="Y80" i="3"/>
  <c r="V76" i="3"/>
  <c r="AH85" i="3"/>
  <c r="AK85" i="3"/>
  <c r="BC84" i="3"/>
  <c r="AK82" i="3"/>
  <c r="AZ81" i="3"/>
  <c r="AN79" i="3"/>
  <c r="BF78" i="3"/>
  <c r="AN76" i="3"/>
  <c r="BL79" i="3"/>
  <c r="AN85" i="3"/>
  <c r="BF84" i="3"/>
  <c r="AN82" i="3"/>
  <c r="BC81" i="3"/>
  <c r="AQ79" i="3"/>
  <c r="BI78" i="3"/>
  <c r="AT76" i="3"/>
  <c r="AQ85" i="3"/>
  <c r="AE83" i="3"/>
  <c r="AQ82" i="3"/>
  <c r="BF81" i="3"/>
  <c r="AT79" i="3"/>
  <c r="BL78" i="3"/>
  <c r="AW76" i="3"/>
  <c r="AT83" i="3"/>
  <c r="AZ77" i="3"/>
  <c r="AT85" i="3"/>
  <c r="AT82" i="3"/>
  <c r="AE80" i="3"/>
  <c r="AW79" i="3"/>
  <c r="BO78" i="3"/>
  <c r="AZ76" i="3"/>
  <c r="AW85" i="3"/>
  <c r="AH83" i="3"/>
  <c r="AW82" i="3"/>
  <c r="AH80" i="3"/>
  <c r="AZ79" i="3"/>
  <c r="AK77" i="3"/>
  <c r="BC76" i="3"/>
  <c r="AZ85" i="3"/>
  <c r="AK83" i="3"/>
  <c r="AZ82" i="3"/>
  <c r="AN80" i="3"/>
  <c r="BC79" i="3"/>
  <c r="AN77" i="3"/>
  <c r="BF76" i="3"/>
  <c r="AE81" i="3"/>
  <c r="BC85" i="3"/>
  <c r="AN83" i="3"/>
  <c r="BC82" i="3"/>
  <c r="AQ80" i="3"/>
  <c r="BF79" i="3"/>
  <c r="AT77" i="3"/>
  <c r="BI76" i="3"/>
  <c r="Y77" i="3"/>
  <c r="AW80" i="3"/>
  <c r="G84" i="3"/>
  <c r="AQ83" i="3"/>
  <c r="BF82" i="3"/>
  <c r="AT80" i="3"/>
  <c r="BI79" i="3"/>
  <c r="AW77" i="3"/>
  <c r="BL76" i="3"/>
  <c r="E8" i="32"/>
  <c r="T59" i="10"/>
  <c r="T56" i="10"/>
  <c r="T63" i="10"/>
  <c r="T61" i="10"/>
  <c r="T64" i="10"/>
  <c r="T58" i="10"/>
  <c r="T21" i="10"/>
  <c r="T57" i="10"/>
  <c r="T62" i="10"/>
  <c r="T60" i="10"/>
  <c r="T8" i="10"/>
  <c r="T65" i="10"/>
  <c r="T9" i="10"/>
  <c r="T15" i="10"/>
  <c r="T16" i="10"/>
  <c r="T13" i="10"/>
  <c r="T17" i="10"/>
  <c r="T18" i="10"/>
  <c r="T19" i="10"/>
  <c r="T20" i="10"/>
  <c r="T22" i="10"/>
  <c r="T23" i="10"/>
  <c r="T24" i="10"/>
  <c r="T5" i="10"/>
  <c r="T6" i="10"/>
  <c r="T7" i="10"/>
  <c r="T10" i="10"/>
  <c r="T11" i="10"/>
  <c r="T12" i="10"/>
  <c r="T14" i="10"/>
  <c r="R87" i="3"/>
  <c r="AP123" i="3"/>
  <c r="AQ4" i="20"/>
  <c r="O4" i="20"/>
  <c r="BH89" i="3"/>
  <c r="D92" i="3"/>
  <c r="I92" i="3"/>
  <c r="BK122" i="3"/>
  <c r="R110" i="3"/>
  <c r="U106" i="3"/>
  <c r="L116" i="3"/>
  <c r="G17" i="20"/>
  <c r="G16" i="20" s="1"/>
  <c r="AP89" i="3"/>
  <c r="BA17" i="20"/>
  <c r="BA16" i="20" s="1"/>
  <c r="AD116" i="3"/>
  <c r="D67" i="3"/>
  <c r="I86" i="3"/>
  <c r="BN90" i="3"/>
  <c r="L90" i="3"/>
  <c r="BB91" i="3"/>
  <c r="R91" i="3"/>
  <c r="BN92" i="3"/>
  <c r="AD95" i="3"/>
  <c r="U4" i="20"/>
  <c r="AA125" i="3"/>
  <c r="AY17" i="20" s="1"/>
  <c r="AY16" i="20" s="1"/>
  <c r="BB87" i="3"/>
  <c r="AG95" i="3"/>
  <c r="AJ119" i="3"/>
  <c r="AP122" i="3"/>
  <c r="D40" i="14"/>
  <c r="D82" i="14"/>
  <c r="P4" i="20"/>
  <c r="AR17" i="20"/>
  <c r="AR16" i="20" s="1"/>
  <c r="F5" i="3"/>
  <c r="C11" i="6"/>
  <c r="F11" i="4"/>
  <c r="F14" i="3"/>
  <c r="D70" i="3"/>
  <c r="BE89" i="3"/>
  <c r="AA92" i="3"/>
  <c r="AL4" i="20"/>
  <c r="O106" i="3"/>
  <c r="R109" i="3"/>
  <c r="R4" i="20"/>
  <c r="AT4" i="20"/>
  <c r="M7" i="10"/>
  <c r="F10" i="4"/>
  <c r="C10" i="6"/>
  <c r="C12" i="6"/>
  <c r="F12" i="4"/>
  <c r="D8" i="14"/>
  <c r="I90" i="3"/>
  <c r="AJ112" i="3"/>
  <c r="S4" i="20"/>
  <c r="X108" i="3"/>
  <c r="AV4" i="20" s="1"/>
  <c r="Y17" i="20"/>
  <c r="Y16" i="20" s="1"/>
  <c r="C13" i="6"/>
  <c r="F13" i="4"/>
  <c r="BB114" i="3"/>
  <c r="O150" i="30"/>
  <c r="P150" i="30" s="1"/>
  <c r="O134" i="30"/>
  <c r="P134" i="30" s="1"/>
  <c r="N57" i="10"/>
  <c r="N64" i="10"/>
  <c r="N61" i="10"/>
  <c r="N59" i="10"/>
  <c r="N63" i="10"/>
  <c r="N62" i="10"/>
  <c r="N56" i="10"/>
  <c r="N60" i="10"/>
  <c r="N65" i="10"/>
  <c r="N19" i="10"/>
  <c r="N6" i="10"/>
  <c r="N58" i="10"/>
  <c r="N24" i="10"/>
  <c r="N11" i="10"/>
  <c r="N15" i="10"/>
  <c r="N16" i="10"/>
  <c r="N17" i="10"/>
  <c r="N18" i="10"/>
  <c r="N20" i="10"/>
  <c r="N21" i="10"/>
  <c r="N22" i="10"/>
  <c r="N23" i="10"/>
  <c r="N5" i="10"/>
  <c r="N7" i="10"/>
  <c r="N8" i="10"/>
  <c r="N9" i="10"/>
  <c r="N10" i="10"/>
  <c r="N12" i="10"/>
  <c r="N13" i="10"/>
  <c r="N14" i="10"/>
  <c r="L86" i="3"/>
  <c r="BE91" i="3"/>
  <c r="W4" i="20"/>
  <c r="AW4" i="20"/>
  <c r="E107" i="3"/>
  <c r="F6" i="3"/>
  <c r="F46" i="3"/>
  <c r="AM106" i="3"/>
  <c r="BQ107" i="3"/>
  <c r="BN113" i="3"/>
  <c r="E111" i="3"/>
  <c r="D121" i="3"/>
  <c r="C9" i="4" s="1"/>
  <c r="V9" i="4" s="1"/>
  <c r="J17" i="20"/>
  <c r="J16" i="20" s="1"/>
  <c r="O117" i="3"/>
  <c r="U17" i="20"/>
  <c r="U16" i="20" s="1"/>
  <c r="X17" i="20"/>
  <c r="X16" i="20" s="1"/>
  <c r="D130" i="3"/>
  <c r="P8" i="4" s="1"/>
  <c r="D128" i="3"/>
  <c r="P6" i="4" s="1"/>
  <c r="M64" i="10"/>
  <c r="M61" i="10"/>
  <c r="M58" i="10"/>
  <c r="M56" i="10"/>
  <c r="M57" i="10"/>
  <c r="M62" i="10"/>
  <c r="M15" i="10"/>
  <c r="M60" i="10"/>
  <c r="M65" i="10"/>
  <c r="M59" i="10"/>
  <c r="M11" i="10"/>
  <c r="M63" i="10"/>
  <c r="M16" i="10"/>
  <c r="M17" i="10"/>
  <c r="M18" i="10"/>
  <c r="M19" i="10"/>
  <c r="M20" i="10"/>
  <c r="M21" i="10"/>
  <c r="M22" i="10"/>
  <c r="M23" i="10"/>
  <c r="M8" i="10"/>
  <c r="M24" i="10"/>
  <c r="M13" i="10"/>
  <c r="M14" i="10"/>
  <c r="M5" i="10"/>
  <c r="M9" i="10"/>
  <c r="M10" i="10"/>
  <c r="M12" i="10"/>
  <c r="F9" i="3"/>
  <c r="E87" i="3"/>
  <c r="AJ106" i="3"/>
  <c r="BN107" i="3"/>
  <c r="AV114" i="3"/>
  <c r="D125" i="3"/>
  <c r="C13" i="4" s="1"/>
  <c r="V13" i="4" s="1"/>
  <c r="G11" i="39"/>
  <c r="L64" i="10"/>
  <c r="L61" i="10"/>
  <c r="L58" i="10"/>
  <c r="L57" i="10"/>
  <c r="L62" i="10"/>
  <c r="L56" i="10"/>
  <c r="L21" i="10"/>
  <c r="L60" i="10"/>
  <c r="L65" i="10"/>
  <c r="L59" i="10"/>
  <c r="L16" i="10"/>
  <c r="L63" i="10"/>
  <c r="L23" i="10"/>
  <c r="L6" i="10"/>
  <c r="L24" i="10"/>
  <c r="L10" i="10"/>
  <c r="L14" i="10"/>
  <c r="L15" i="10"/>
  <c r="L17" i="10"/>
  <c r="L18" i="10"/>
  <c r="L19" i="10"/>
  <c r="L20" i="10"/>
  <c r="L22" i="10"/>
  <c r="L5" i="10"/>
  <c r="L7" i="10"/>
  <c r="L8" i="10"/>
  <c r="L9" i="10"/>
  <c r="L11" i="10"/>
  <c r="L12" i="10"/>
  <c r="L13" i="10"/>
  <c r="BN91" i="3"/>
  <c r="U92" i="3"/>
  <c r="O94" i="3"/>
  <c r="BK107" i="3"/>
  <c r="AS114" i="3"/>
  <c r="I110" i="3"/>
  <c r="E110" i="3"/>
  <c r="BA4" i="20"/>
  <c r="Y4" i="20"/>
  <c r="L125" i="3"/>
  <c r="O123" i="3"/>
  <c r="R119" i="3"/>
  <c r="K64" i="10"/>
  <c r="K61" i="10"/>
  <c r="K58" i="10"/>
  <c r="K56" i="10"/>
  <c r="K60" i="10"/>
  <c r="K65" i="10"/>
  <c r="K59" i="10"/>
  <c r="K23" i="10"/>
  <c r="K5" i="10"/>
  <c r="K57" i="10"/>
  <c r="K62" i="10"/>
  <c r="K63" i="10"/>
  <c r="K12" i="10"/>
  <c r="K15" i="10"/>
  <c r="K16" i="10"/>
  <c r="K17" i="10"/>
  <c r="K18" i="10"/>
  <c r="K19" i="10"/>
  <c r="K20" i="10"/>
  <c r="K21" i="10"/>
  <c r="K22" i="10"/>
  <c r="K24" i="10"/>
  <c r="K11" i="10"/>
  <c r="K13" i="10"/>
  <c r="K14" i="10"/>
  <c r="K6" i="10"/>
  <c r="K7" i="10"/>
  <c r="K8" i="10"/>
  <c r="K9" i="10"/>
  <c r="K10" i="10"/>
  <c r="T98" i="9"/>
  <c r="T95" i="9"/>
  <c r="T86" i="9"/>
  <c r="T92" i="9"/>
  <c r="T83" i="9"/>
  <c r="T89" i="9"/>
  <c r="T80" i="9"/>
  <c r="T105" i="9"/>
  <c r="T79" i="9"/>
  <c r="T120" i="9"/>
  <c r="T127" i="9"/>
  <c r="T38" i="9"/>
  <c r="T39" i="9"/>
  <c r="T40" i="9"/>
  <c r="T60" i="9"/>
  <c r="T64" i="9"/>
  <c r="T82" i="9"/>
  <c r="T97" i="9"/>
  <c r="T41" i="9"/>
  <c r="T91" i="9"/>
  <c r="T96" i="9"/>
  <c r="T81" i="9"/>
  <c r="T85" i="9"/>
  <c r="T90" i="9"/>
  <c r="T84" i="9"/>
  <c r="T88" i="9"/>
  <c r="T61" i="9"/>
  <c r="T62" i="9"/>
  <c r="T63" i="9"/>
  <c r="T7" i="9"/>
  <c r="T93" i="9"/>
  <c r="T123" i="9"/>
  <c r="T128" i="9"/>
  <c r="T103" i="9"/>
  <c r="T108" i="9"/>
  <c r="T45" i="9"/>
  <c r="T94" i="9"/>
  <c r="T57" i="9"/>
  <c r="T121" i="9"/>
  <c r="T101" i="9"/>
  <c r="T106" i="9"/>
  <c r="T43" i="9"/>
  <c r="T126" i="9"/>
  <c r="T87" i="9"/>
  <c r="T102" i="9"/>
  <c r="T46" i="9"/>
  <c r="T65" i="9"/>
  <c r="T37" i="9"/>
  <c r="T8" i="9"/>
  <c r="T59" i="9"/>
  <c r="T107" i="9"/>
  <c r="T124" i="9"/>
  <c r="T109" i="9"/>
  <c r="T12" i="9"/>
  <c r="T129" i="9"/>
  <c r="T58" i="9"/>
  <c r="T42" i="9"/>
  <c r="T122" i="9"/>
  <c r="T66" i="9"/>
  <c r="T125" i="9"/>
  <c r="T104" i="9"/>
  <c r="T44" i="9"/>
  <c r="T100" i="9"/>
  <c r="T6" i="9"/>
  <c r="T9" i="9"/>
  <c r="T10" i="9"/>
  <c r="T11" i="9"/>
  <c r="T13" i="9"/>
  <c r="T14" i="9"/>
  <c r="T15" i="9"/>
  <c r="F23" i="10"/>
  <c r="F8" i="10"/>
  <c r="F15" i="10"/>
  <c r="F12" i="10"/>
  <c r="F19" i="10"/>
  <c r="F16" i="10"/>
  <c r="F17" i="10"/>
  <c r="F18" i="10"/>
  <c r="F20" i="10"/>
  <c r="F21" i="10"/>
  <c r="F22" i="10"/>
  <c r="F24" i="10"/>
  <c r="F5" i="10"/>
  <c r="F6" i="10"/>
  <c r="F7" i="10"/>
  <c r="F9" i="10"/>
  <c r="BH122" i="3"/>
  <c r="L119" i="3"/>
  <c r="S95" i="9"/>
  <c r="S86" i="9"/>
  <c r="S92" i="9"/>
  <c r="S83" i="9"/>
  <c r="S89" i="9"/>
  <c r="S80" i="9"/>
  <c r="S97" i="9"/>
  <c r="S121" i="9"/>
  <c r="S129" i="9"/>
  <c r="S39" i="9"/>
  <c r="S79" i="9"/>
  <c r="S128" i="9"/>
  <c r="S37" i="9"/>
  <c r="S40" i="9"/>
  <c r="S60" i="9"/>
  <c r="S64" i="9"/>
  <c r="S82" i="9"/>
  <c r="S98" i="9"/>
  <c r="S41" i="9"/>
  <c r="S91" i="9"/>
  <c r="S96" i="9"/>
  <c r="S100" i="9"/>
  <c r="S42" i="9"/>
  <c r="S81" i="9"/>
  <c r="S85" i="9"/>
  <c r="S90" i="9"/>
  <c r="S84" i="9"/>
  <c r="S88" i="9"/>
  <c r="S94" i="9"/>
  <c r="S93" i="9"/>
  <c r="S123" i="9"/>
  <c r="S103" i="9"/>
  <c r="S108" i="9"/>
  <c r="S45" i="9"/>
  <c r="S13" i="9"/>
  <c r="S120" i="9"/>
  <c r="S101" i="9"/>
  <c r="S106" i="9"/>
  <c r="S43" i="9"/>
  <c r="S126" i="9"/>
  <c r="S125" i="9"/>
  <c r="S87" i="9"/>
  <c r="S65" i="9"/>
  <c r="S10" i="9"/>
  <c r="S105" i="9"/>
  <c r="S62" i="9"/>
  <c r="S59" i="9"/>
  <c r="S15" i="9"/>
  <c r="S107" i="9"/>
  <c r="S124" i="9"/>
  <c r="S109" i="9"/>
  <c r="S61" i="9"/>
  <c r="S38" i="9"/>
  <c r="S58" i="9"/>
  <c r="S122" i="9"/>
  <c r="S66" i="9"/>
  <c r="S127" i="9"/>
  <c r="S104" i="9"/>
  <c r="S44" i="9"/>
  <c r="S63" i="9"/>
  <c r="S102" i="9"/>
  <c r="S46" i="9"/>
  <c r="S57" i="9"/>
  <c r="S12" i="9"/>
  <c r="S14" i="9"/>
  <c r="I44" i="37"/>
  <c r="Q13" i="10"/>
  <c r="R86" i="9"/>
  <c r="R92" i="9"/>
  <c r="R83" i="9"/>
  <c r="R89" i="9"/>
  <c r="R80" i="9"/>
  <c r="R120" i="9"/>
  <c r="R96" i="9"/>
  <c r="R88" i="9"/>
  <c r="R94" i="9"/>
  <c r="R106" i="9"/>
  <c r="R129" i="9"/>
  <c r="R38" i="9"/>
  <c r="R82" i="9"/>
  <c r="R98" i="9"/>
  <c r="R41" i="9"/>
  <c r="R91" i="9"/>
  <c r="R97" i="9"/>
  <c r="R100" i="9"/>
  <c r="R42" i="9"/>
  <c r="R101" i="9"/>
  <c r="R43" i="9"/>
  <c r="R81" i="9"/>
  <c r="R85" i="9"/>
  <c r="R90" i="9"/>
  <c r="R84" i="9"/>
  <c r="R95" i="9"/>
  <c r="R87" i="9"/>
  <c r="R128" i="9"/>
  <c r="R40" i="9"/>
  <c r="R60" i="9"/>
  <c r="R39" i="9"/>
  <c r="R79" i="9"/>
  <c r="R121" i="9"/>
  <c r="R126" i="9"/>
  <c r="R125" i="9"/>
  <c r="R105" i="9"/>
  <c r="R93" i="9"/>
  <c r="R123" i="9"/>
  <c r="R37" i="9"/>
  <c r="R62" i="9"/>
  <c r="R59" i="9"/>
  <c r="R107" i="9"/>
  <c r="R124" i="9"/>
  <c r="R103" i="9"/>
  <c r="R109" i="9"/>
  <c r="R45" i="9"/>
  <c r="R61" i="9"/>
  <c r="R64" i="9"/>
  <c r="R58" i="9"/>
  <c r="R9" i="9"/>
  <c r="R122" i="9"/>
  <c r="R66" i="9"/>
  <c r="R127" i="9"/>
  <c r="R104" i="9"/>
  <c r="R44" i="9"/>
  <c r="R63" i="9"/>
  <c r="R102" i="9"/>
  <c r="R108" i="9"/>
  <c r="R46" i="9"/>
  <c r="R57" i="9"/>
  <c r="R65" i="9"/>
  <c r="R6" i="9"/>
  <c r="R7" i="9"/>
  <c r="R8" i="9"/>
  <c r="R10" i="9"/>
  <c r="R11" i="9"/>
  <c r="R12" i="9"/>
  <c r="R13" i="9"/>
  <c r="R14" i="9"/>
  <c r="R15" i="9"/>
  <c r="Q12" i="10"/>
  <c r="L118" i="3"/>
  <c r="AW17" i="20"/>
  <c r="AW16" i="20" s="1"/>
  <c r="Q11" i="10"/>
  <c r="Q9" i="10"/>
  <c r="M51" i="29"/>
  <c r="M53" i="29"/>
  <c r="D53" i="29"/>
  <c r="F6" i="4"/>
  <c r="C6" i="6"/>
  <c r="S56" i="10"/>
  <c r="S63" i="10"/>
  <c r="S60" i="10"/>
  <c r="S58" i="10"/>
  <c r="S57" i="10"/>
  <c r="S62" i="10"/>
  <c r="S61" i="10"/>
  <c r="S65" i="10"/>
  <c r="S18" i="10"/>
  <c r="S13" i="10"/>
  <c r="S20" i="10"/>
  <c r="S21" i="10"/>
  <c r="S22" i="10"/>
  <c r="S23" i="10"/>
  <c r="S24" i="10"/>
  <c r="S6" i="10"/>
  <c r="S59" i="10"/>
  <c r="S15" i="10"/>
  <c r="S64" i="10"/>
  <c r="S16" i="10"/>
  <c r="S17" i="10"/>
  <c r="S19" i="10"/>
  <c r="S5" i="10"/>
  <c r="S7" i="10"/>
  <c r="S8" i="10"/>
  <c r="S14" i="10"/>
  <c r="F7" i="4"/>
  <c r="C7" i="6"/>
  <c r="R63" i="10"/>
  <c r="R60" i="10"/>
  <c r="R57" i="10"/>
  <c r="R58" i="10"/>
  <c r="R17" i="10"/>
  <c r="R62" i="10"/>
  <c r="R56" i="10"/>
  <c r="R61" i="10"/>
  <c r="R8" i="10"/>
  <c r="R15" i="10"/>
  <c r="R16" i="10"/>
  <c r="R18" i="10"/>
  <c r="R19" i="10"/>
  <c r="R12" i="10"/>
  <c r="R59" i="10"/>
  <c r="R20" i="10"/>
  <c r="R21" i="10"/>
  <c r="R22" i="10"/>
  <c r="R64" i="10"/>
  <c r="R23" i="10"/>
  <c r="R24" i="10"/>
  <c r="R65" i="10"/>
  <c r="R5" i="10"/>
  <c r="R6" i="10"/>
  <c r="R7" i="10"/>
  <c r="R9" i="10"/>
  <c r="R10" i="10"/>
  <c r="R11" i="10"/>
  <c r="R13" i="10"/>
  <c r="R14" i="10"/>
  <c r="S12" i="10"/>
  <c r="E125" i="3"/>
  <c r="D13" i="4" s="1"/>
  <c r="W13" i="4" s="1"/>
  <c r="AQ2" i="3"/>
  <c r="Q63" i="10"/>
  <c r="Q60" i="10"/>
  <c r="Q57" i="10"/>
  <c r="Q23" i="10"/>
  <c r="Q62" i="10"/>
  <c r="Q56" i="10"/>
  <c r="Q61" i="10"/>
  <c r="Q65" i="10"/>
  <c r="Q15" i="10"/>
  <c r="Q7" i="10"/>
  <c r="Q58" i="10"/>
  <c r="Q59" i="10"/>
  <c r="Q64" i="10"/>
  <c r="Q18" i="10"/>
  <c r="Q10" i="10"/>
  <c r="Q19" i="10"/>
  <c r="Q20" i="10"/>
  <c r="Q21" i="10"/>
  <c r="Q22" i="10"/>
  <c r="Q14" i="10"/>
  <c r="Q24" i="10"/>
  <c r="Q16" i="10"/>
  <c r="Q17" i="10"/>
  <c r="Q5" i="10"/>
  <c r="Q6" i="10"/>
  <c r="I9" i="37"/>
  <c r="C52" i="37"/>
  <c r="S11" i="10"/>
  <c r="F9" i="4"/>
  <c r="C9" i="6"/>
  <c r="P63" i="10"/>
  <c r="P60" i="10"/>
  <c r="P57" i="10"/>
  <c r="P65" i="10"/>
  <c r="P62" i="10"/>
  <c r="P56" i="10"/>
  <c r="P61" i="10"/>
  <c r="P22" i="10"/>
  <c r="P12" i="10"/>
  <c r="P58" i="10"/>
  <c r="P59" i="10"/>
  <c r="P64" i="10"/>
  <c r="P15" i="10"/>
  <c r="P16" i="10"/>
  <c r="P17" i="10"/>
  <c r="P7" i="10"/>
  <c r="P18" i="10"/>
  <c r="P19" i="10"/>
  <c r="P20" i="10"/>
  <c r="P21" i="10"/>
  <c r="P23" i="10"/>
  <c r="P24" i="10"/>
  <c r="P5" i="10"/>
  <c r="P6" i="10"/>
  <c r="P8" i="10"/>
  <c r="P9" i="10"/>
  <c r="P10" i="10"/>
  <c r="P11" i="10"/>
  <c r="P13" i="10"/>
  <c r="P14" i="10"/>
  <c r="K81" i="9"/>
  <c r="K97" i="9"/>
  <c r="K88" i="9"/>
  <c r="K94" i="9"/>
  <c r="K85" i="9"/>
  <c r="K91" i="9"/>
  <c r="K83" i="9"/>
  <c r="K89" i="9"/>
  <c r="K125" i="9"/>
  <c r="K43" i="9"/>
  <c r="K84" i="9"/>
  <c r="K104" i="9"/>
  <c r="K46" i="9"/>
  <c r="K96" i="9"/>
  <c r="K121" i="9"/>
  <c r="K106" i="9"/>
  <c r="K58" i="9"/>
  <c r="K62" i="9"/>
  <c r="K66" i="9"/>
  <c r="K90" i="9"/>
  <c r="K95" i="9"/>
  <c r="K122" i="9"/>
  <c r="K107" i="9"/>
  <c r="K123" i="9"/>
  <c r="K108" i="9"/>
  <c r="K80" i="9"/>
  <c r="K79" i="9"/>
  <c r="K87" i="9"/>
  <c r="K93" i="9"/>
  <c r="K120" i="9"/>
  <c r="K57" i="9"/>
  <c r="K13" i="9"/>
  <c r="K105" i="9"/>
  <c r="K37" i="9"/>
  <c r="K124" i="9"/>
  <c r="K129" i="9"/>
  <c r="K100" i="9"/>
  <c r="K109" i="9"/>
  <c r="K42" i="9"/>
  <c r="K63" i="9"/>
  <c r="K64" i="9"/>
  <c r="K65" i="9"/>
  <c r="K86" i="9"/>
  <c r="K128" i="9"/>
  <c r="K82" i="9"/>
  <c r="K92" i="9"/>
  <c r="K126" i="9"/>
  <c r="K103" i="9"/>
  <c r="K45" i="9"/>
  <c r="K98" i="9"/>
  <c r="K61" i="9"/>
  <c r="K38" i="9"/>
  <c r="K127" i="9"/>
  <c r="K101" i="9"/>
  <c r="K40" i="9"/>
  <c r="K7" i="9"/>
  <c r="K60" i="9"/>
  <c r="K44" i="9"/>
  <c r="K102" i="9"/>
  <c r="K59" i="9"/>
  <c r="K39" i="9"/>
  <c r="K41" i="9"/>
  <c r="K6" i="9"/>
  <c r="K8" i="9"/>
  <c r="K9" i="9"/>
  <c r="I33" i="37"/>
  <c r="I25" i="37"/>
  <c r="I17" i="37"/>
  <c r="I8" i="37"/>
  <c r="K10" i="9"/>
  <c r="S11" i="9"/>
  <c r="S10" i="10"/>
  <c r="O60" i="10"/>
  <c r="O57" i="10"/>
  <c r="O64" i="10"/>
  <c r="O62" i="10"/>
  <c r="O63" i="10"/>
  <c r="O19" i="10"/>
  <c r="O56" i="10"/>
  <c r="O61" i="10"/>
  <c r="O65" i="10"/>
  <c r="O59" i="10"/>
  <c r="O58" i="10"/>
  <c r="O16" i="10"/>
  <c r="O5" i="10"/>
  <c r="O17" i="10"/>
  <c r="O18" i="10"/>
  <c r="O20" i="10"/>
  <c r="O21" i="10"/>
  <c r="O9" i="10"/>
  <c r="O22" i="10"/>
  <c r="O23" i="10"/>
  <c r="O24" i="10"/>
  <c r="O13" i="10"/>
  <c r="O15" i="10"/>
  <c r="V82" i="9"/>
  <c r="V79" i="9"/>
  <c r="V98" i="9"/>
  <c r="V95" i="9"/>
  <c r="V86" i="9"/>
  <c r="V92" i="9"/>
  <c r="V84" i="9"/>
  <c r="V90" i="9"/>
  <c r="V104" i="9"/>
  <c r="V85" i="9"/>
  <c r="V93" i="9"/>
  <c r="V125" i="9"/>
  <c r="V120" i="9"/>
  <c r="V127" i="9"/>
  <c r="V128" i="9"/>
  <c r="V129" i="9"/>
  <c r="V37" i="9"/>
  <c r="V38" i="9"/>
  <c r="V39" i="9"/>
  <c r="V97" i="9"/>
  <c r="V91" i="9"/>
  <c r="V96" i="9"/>
  <c r="V81" i="9"/>
  <c r="V89" i="9"/>
  <c r="V80" i="9"/>
  <c r="V124" i="9"/>
  <c r="V109" i="9"/>
  <c r="V11" i="9"/>
  <c r="V83" i="9"/>
  <c r="V63" i="9"/>
  <c r="V94" i="9"/>
  <c r="V59" i="9"/>
  <c r="V122" i="9"/>
  <c r="V102" i="9"/>
  <c r="V107" i="9"/>
  <c r="V44" i="9"/>
  <c r="V58" i="9"/>
  <c r="V57" i="9"/>
  <c r="V121" i="9"/>
  <c r="V126" i="9"/>
  <c r="V101" i="9"/>
  <c r="V108" i="9"/>
  <c r="V6" i="9"/>
  <c r="V100" i="9"/>
  <c r="V46" i="9"/>
  <c r="V123" i="9"/>
  <c r="V65" i="9"/>
  <c r="V62" i="9"/>
  <c r="V10" i="9"/>
  <c r="V105" i="9"/>
  <c r="V41" i="9"/>
  <c r="V43" i="9"/>
  <c r="V87" i="9"/>
  <c r="V88" i="9"/>
  <c r="V103" i="9"/>
  <c r="V45" i="9"/>
  <c r="V64" i="9"/>
  <c r="V15" i="9"/>
  <c r="V61" i="9"/>
  <c r="V40" i="9"/>
  <c r="V106" i="9"/>
  <c r="V42" i="9"/>
  <c r="V60" i="9"/>
  <c r="V66" i="9"/>
  <c r="I51" i="37"/>
  <c r="I43" i="37"/>
  <c r="M8" i="9"/>
  <c r="O7" i="9"/>
  <c r="V14" i="9"/>
  <c r="O6" i="10"/>
  <c r="U9" i="10"/>
  <c r="W10" i="10"/>
  <c r="Y10" i="10"/>
  <c r="I6" i="37"/>
  <c r="I58" i="37"/>
  <c r="V13" i="9"/>
  <c r="U8" i="10"/>
  <c r="W8" i="10"/>
  <c r="Y9" i="10"/>
  <c r="I38" i="37"/>
  <c r="I30" i="37"/>
  <c r="I22" i="37"/>
  <c r="I13" i="37"/>
  <c r="I50" i="37"/>
  <c r="I42" i="37"/>
  <c r="N15" i="9"/>
  <c r="P13" i="9"/>
  <c r="V12" i="9"/>
  <c r="U6" i="10"/>
  <c r="W6" i="10"/>
  <c r="Y8" i="10"/>
  <c r="L15" i="9"/>
  <c r="N14" i="9"/>
  <c r="P12" i="9"/>
  <c r="V9" i="9"/>
  <c r="Y7" i="10"/>
  <c r="I37" i="37"/>
  <c r="I29" i="37"/>
  <c r="I21" i="37"/>
  <c r="I12" i="37"/>
  <c r="L14" i="9"/>
  <c r="N13" i="9"/>
  <c r="P11" i="9"/>
  <c r="V8" i="9"/>
  <c r="Y6" i="10"/>
  <c r="Q83" i="9"/>
  <c r="Q89" i="9"/>
  <c r="Q80" i="9"/>
  <c r="Q120" i="9"/>
  <c r="Q96" i="9"/>
  <c r="Q87" i="9"/>
  <c r="Q93" i="9"/>
  <c r="Q85" i="9"/>
  <c r="Q91" i="9"/>
  <c r="Q122" i="9"/>
  <c r="Q40" i="9"/>
  <c r="Q86" i="9"/>
  <c r="Q39" i="9"/>
  <c r="Q60" i="9"/>
  <c r="Q64" i="9"/>
  <c r="Q82" i="9"/>
  <c r="Q92" i="9"/>
  <c r="Q98" i="9"/>
  <c r="Q97" i="9"/>
  <c r="Q100" i="9"/>
  <c r="Q42" i="9"/>
  <c r="Q101" i="9"/>
  <c r="Q43" i="9"/>
  <c r="Q81" i="9"/>
  <c r="Q90" i="9"/>
  <c r="Q102" i="9"/>
  <c r="Q44" i="9"/>
  <c r="Q61" i="9"/>
  <c r="Q65" i="9"/>
  <c r="Q84" i="9"/>
  <c r="Q88" i="9"/>
  <c r="Q95" i="9"/>
  <c r="Q94" i="9"/>
  <c r="Q9" i="9"/>
  <c r="Q107" i="9"/>
  <c r="Q58" i="9"/>
  <c r="Q59" i="9"/>
  <c r="Q79" i="9"/>
  <c r="Q121" i="9"/>
  <c r="Q126" i="9"/>
  <c r="Q106" i="9"/>
  <c r="Q125" i="9"/>
  <c r="Q105" i="9"/>
  <c r="Q123" i="9"/>
  <c r="Q37" i="9"/>
  <c r="Q7" i="9"/>
  <c r="Q62" i="9"/>
  <c r="Q128" i="9"/>
  <c r="Q41" i="9"/>
  <c r="Q12" i="9"/>
  <c r="Q124" i="9"/>
  <c r="Q103" i="9"/>
  <c r="Q109" i="9"/>
  <c r="Q45" i="9"/>
  <c r="Q129" i="9"/>
  <c r="Q38" i="9"/>
  <c r="Q66" i="9"/>
  <c r="Q127" i="9"/>
  <c r="Q104" i="9"/>
  <c r="Q63" i="9"/>
  <c r="Q108" i="9"/>
  <c r="Q46" i="9"/>
  <c r="Q57" i="9"/>
  <c r="L12" i="9"/>
  <c r="N10" i="9"/>
  <c r="V7" i="9"/>
  <c r="V12" i="10"/>
  <c r="X14" i="10"/>
  <c r="Y58" i="10"/>
  <c r="Y65" i="10"/>
  <c r="Y62" i="10"/>
  <c r="Y60" i="10"/>
  <c r="Y59" i="10"/>
  <c r="Y23" i="10"/>
  <c r="Y64" i="10"/>
  <c r="Y63" i="10"/>
  <c r="Y57" i="10"/>
  <c r="Y56" i="10"/>
  <c r="Y61" i="10"/>
  <c r="Y22" i="10"/>
  <c r="Y12" i="10"/>
  <c r="Y24" i="10"/>
  <c r="Y15" i="10"/>
  <c r="Y16" i="10"/>
  <c r="Y17" i="10"/>
  <c r="Y18" i="10"/>
  <c r="Y19" i="10"/>
  <c r="Y20" i="10"/>
  <c r="Y21" i="10"/>
  <c r="I19" i="10"/>
  <c r="I7" i="10"/>
  <c r="I11" i="10"/>
  <c r="I15" i="10"/>
  <c r="I16" i="10"/>
  <c r="I17" i="10"/>
  <c r="I18" i="10"/>
  <c r="I20" i="10"/>
  <c r="I21" i="10"/>
  <c r="I22" i="10"/>
  <c r="I23" i="10"/>
  <c r="I24" i="10"/>
  <c r="P80" i="9"/>
  <c r="P120" i="9"/>
  <c r="P96" i="9"/>
  <c r="P87" i="9"/>
  <c r="P93" i="9"/>
  <c r="P84" i="9"/>
  <c r="P90" i="9"/>
  <c r="P82" i="9"/>
  <c r="P107" i="9"/>
  <c r="P83" i="9"/>
  <c r="P92" i="9"/>
  <c r="P98" i="9"/>
  <c r="P40" i="9"/>
  <c r="P41" i="9"/>
  <c r="P86" i="9"/>
  <c r="P97" i="9"/>
  <c r="P91" i="9"/>
  <c r="P101" i="9"/>
  <c r="P43" i="9"/>
  <c r="P81" i="9"/>
  <c r="P102" i="9"/>
  <c r="P44" i="9"/>
  <c r="P61" i="9"/>
  <c r="P65" i="9"/>
  <c r="P85" i="9"/>
  <c r="P103" i="9"/>
  <c r="P45" i="9"/>
  <c r="P57" i="9"/>
  <c r="P88" i="9"/>
  <c r="P95" i="9"/>
  <c r="P89" i="9"/>
  <c r="P94" i="9"/>
  <c r="P58" i="9"/>
  <c r="P59" i="9"/>
  <c r="P60" i="9"/>
  <c r="P15" i="9"/>
  <c r="P122" i="9"/>
  <c r="P127" i="9"/>
  <c r="P79" i="9"/>
  <c r="P125" i="9"/>
  <c r="P105" i="9"/>
  <c r="P38" i="9"/>
  <c r="P100" i="9"/>
  <c r="P124" i="9"/>
  <c r="P62" i="9"/>
  <c r="P14" i="9"/>
  <c r="P128" i="9"/>
  <c r="P39" i="9"/>
  <c r="P121" i="9"/>
  <c r="P126" i="9"/>
  <c r="P109" i="9"/>
  <c r="P64" i="9"/>
  <c r="P129" i="9"/>
  <c r="P66" i="9"/>
  <c r="P6" i="9"/>
  <c r="P104" i="9"/>
  <c r="P42" i="9"/>
  <c r="P106" i="9"/>
  <c r="P63" i="9"/>
  <c r="P108" i="9"/>
  <c r="P46" i="9"/>
  <c r="P123" i="9"/>
  <c r="P37" i="9"/>
  <c r="I48" i="37"/>
  <c r="I40" i="37"/>
  <c r="L11" i="9"/>
  <c r="N9" i="9"/>
  <c r="P9" i="9"/>
  <c r="V11" i="10"/>
  <c r="G42" i="9"/>
  <c r="G43" i="9"/>
  <c r="X65" i="10"/>
  <c r="X62" i="10"/>
  <c r="X59" i="10"/>
  <c r="X57" i="10"/>
  <c r="X64" i="10"/>
  <c r="X58" i="10"/>
  <c r="X63" i="10"/>
  <c r="X56" i="10"/>
  <c r="X17" i="10"/>
  <c r="X60" i="10"/>
  <c r="X18" i="10"/>
  <c r="X61" i="10"/>
  <c r="X15" i="10"/>
  <c r="X16" i="10"/>
  <c r="X19" i="10"/>
  <c r="X6" i="10"/>
  <c r="X20" i="10"/>
  <c r="X21" i="10"/>
  <c r="X22" i="10"/>
  <c r="X23" i="10"/>
  <c r="X10" i="10"/>
  <c r="X24" i="10"/>
  <c r="O120" i="9"/>
  <c r="O96" i="9"/>
  <c r="O87" i="9"/>
  <c r="O93" i="9"/>
  <c r="O84" i="9"/>
  <c r="O90" i="9"/>
  <c r="O81" i="9"/>
  <c r="O79" i="9"/>
  <c r="O123" i="9"/>
  <c r="O41" i="9"/>
  <c r="O80" i="9"/>
  <c r="O82" i="9"/>
  <c r="O86" i="9"/>
  <c r="O97" i="9"/>
  <c r="O100" i="9"/>
  <c r="O42" i="9"/>
  <c r="O91" i="9"/>
  <c r="O102" i="9"/>
  <c r="O44" i="9"/>
  <c r="O61" i="9"/>
  <c r="O65" i="9"/>
  <c r="O85" i="9"/>
  <c r="O103" i="9"/>
  <c r="O45" i="9"/>
  <c r="O57" i="9"/>
  <c r="O104" i="9"/>
  <c r="O46" i="9"/>
  <c r="O88" i="9"/>
  <c r="O95" i="9"/>
  <c r="O89" i="9"/>
  <c r="O94" i="9"/>
  <c r="O83" i="9"/>
  <c r="O122" i="9"/>
  <c r="O127" i="9"/>
  <c r="O107" i="9"/>
  <c r="O40" i="9"/>
  <c r="O98" i="9"/>
  <c r="O101" i="9"/>
  <c r="O43" i="9"/>
  <c r="O125" i="9"/>
  <c r="O105" i="9"/>
  <c r="O38" i="9"/>
  <c r="O66" i="9"/>
  <c r="O124" i="9"/>
  <c r="O92" i="9"/>
  <c r="O128" i="9"/>
  <c r="O39" i="9"/>
  <c r="O59" i="9"/>
  <c r="O121" i="9"/>
  <c r="O126" i="9"/>
  <c r="O109" i="9"/>
  <c r="O9" i="9"/>
  <c r="O64" i="9"/>
  <c r="O129" i="9"/>
  <c r="O58" i="9"/>
  <c r="O13" i="9"/>
  <c r="O106" i="9"/>
  <c r="O63" i="9"/>
  <c r="O108" i="9"/>
  <c r="O60" i="9"/>
  <c r="O37" i="9"/>
  <c r="O62" i="9"/>
  <c r="L10" i="9"/>
  <c r="P8" i="9"/>
  <c r="I14" i="10"/>
  <c r="V10" i="10"/>
  <c r="X12" i="10"/>
  <c r="W65" i="10"/>
  <c r="W62" i="10"/>
  <c r="W59" i="10"/>
  <c r="W56" i="10"/>
  <c r="W64" i="10"/>
  <c r="W19" i="10"/>
  <c r="W58" i="10"/>
  <c r="W63" i="10"/>
  <c r="W57" i="10"/>
  <c r="W61" i="10"/>
  <c r="W60" i="10"/>
  <c r="W24" i="10"/>
  <c r="W9" i="10"/>
  <c r="W22" i="10"/>
  <c r="W7" i="10"/>
  <c r="W23" i="10"/>
  <c r="W12" i="10"/>
  <c r="W15" i="10"/>
  <c r="W16" i="10"/>
  <c r="W17" i="10"/>
  <c r="W18" i="10"/>
  <c r="W20" i="10"/>
  <c r="W21" i="10"/>
  <c r="G8" i="39"/>
  <c r="N96" i="9"/>
  <c r="N87" i="9"/>
  <c r="N93" i="9"/>
  <c r="N84" i="9"/>
  <c r="N90" i="9"/>
  <c r="N81" i="9"/>
  <c r="N98" i="9"/>
  <c r="N100" i="9"/>
  <c r="N108" i="9"/>
  <c r="N91" i="9"/>
  <c r="N101" i="9"/>
  <c r="N43" i="9"/>
  <c r="N85" i="9"/>
  <c r="N103" i="9"/>
  <c r="N45" i="9"/>
  <c r="N57" i="9"/>
  <c r="N104" i="9"/>
  <c r="N46" i="9"/>
  <c r="N105" i="9"/>
  <c r="N88" i="9"/>
  <c r="N95" i="9"/>
  <c r="N89" i="9"/>
  <c r="N94" i="9"/>
  <c r="N80" i="9"/>
  <c r="N11" i="9"/>
  <c r="N102" i="9"/>
  <c r="N44" i="9"/>
  <c r="N79" i="9"/>
  <c r="N120" i="9"/>
  <c r="N125" i="9"/>
  <c r="N38" i="9"/>
  <c r="N66" i="9"/>
  <c r="N124" i="9"/>
  <c r="N129" i="9"/>
  <c r="N86" i="9"/>
  <c r="N39" i="9"/>
  <c r="N12" i="9"/>
  <c r="N59" i="9"/>
  <c r="N121" i="9"/>
  <c r="N126" i="9"/>
  <c r="N109" i="9"/>
  <c r="N41" i="9"/>
  <c r="N97" i="9"/>
  <c r="N107" i="9"/>
  <c r="N82" i="9"/>
  <c r="N64" i="9"/>
  <c r="N83" i="9"/>
  <c r="N58" i="9"/>
  <c r="N61" i="9"/>
  <c r="N122" i="9"/>
  <c r="N127" i="9"/>
  <c r="N106" i="9"/>
  <c r="N42" i="9"/>
  <c r="N63" i="9"/>
  <c r="N40" i="9"/>
  <c r="N60" i="9"/>
  <c r="N37" i="9"/>
  <c r="N123" i="9"/>
  <c r="N62" i="9"/>
  <c r="N65" i="9"/>
  <c r="N92" i="9"/>
  <c r="N128" i="9"/>
  <c r="L8" i="9"/>
  <c r="N7" i="9"/>
  <c r="P7" i="9"/>
  <c r="I13" i="10"/>
  <c r="X11" i="10"/>
  <c r="O142" i="30"/>
  <c r="P142" i="30" s="1"/>
  <c r="O126" i="30"/>
  <c r="P126" i="30" s="1"/>
  <c r="G14" i="39"/>
  <c r="V65" i="10"/>
  <c r="V62" i="10"/>
  <c r="V59" i="10"/>
  <c r="V56" i="10"/>
  <c r="V64" i="10"/>
  <c r="V58" i="10"/>
  <c r="V63" i="10"/>
  <c r="V57" i="10"/>
  <c r="V61" i="10"/>
  <c r="V14" i="10"/>
  <c r="V15" i="10"/>
  <c r="V13" i="10"/>
  <c r="V16" i="10"/>
  <c r="V17" i="10"/>
  <c r="V18" i="10"/>
  <c r="V19" i="10"/>
  <c r="V20" i="10"/>
  <c r="V21" i="10"/>
  <c r="V22" i="10"/>
  <c r="V5" i="10"/>
  <c r="V23" i="10"/>
  <c r="V24" i="10"/>
  <c r="V60" i="10"/>
  <c r="M87" i="9"/>
  <c r="M93" i="9"/>
  <c r="M84" i="9"/>
  <c r="M90" i="9"/>
  <c r="M81" i="9"/>
  <c r="M95" i="9"/>
  <c r="M124" i="9"/>
  <c r="M42" i="9"/>
  <c r="M102" i="9"/>
  <c r="M44" i="9"/>
  <c r="M61" i="9"/>
  <c r="M65" i="9"/>
  <c r="M85" i="9"/>
  <c r="M104" i="9"/>
  <c r="M46" i="9"/>
  <c r="M96" i="9"/>
  <c r="M105" i="9"/>
  <c r="M88" i="9"/>
  <c r="M121" i="9"/>
  <c r="M106" i="9"/>
  <c r="M58" i="9"/>
  <c r="M62" i="9"/>
  <c r="M66" i="9"/>
  <c r="M89" i="9"/>
  <c r="M94" i="9"/>
  <c r="M80" i="9"/>
  <c r="M79" i="9"/>
  <c r="M83" i="9"/>
  <c r="M98" i="9"/>
  <c r="M126" i="9"/>
  <c r="M39" i="9"/>
  <c r="M57" i="9"/>
  <c r="M120" i="9"/>
  <c r="M109" i="9"/>
  <c r="M37" i="9"/>
  <c r="M129" i="9"/>
  <c r="M100" i="9"/>
  <c r="M86" i="9"/>
  <c r="M91" i="9"/>
  <c r="M92" i="9"/>
  <c r="M59" i="9"/>
  <c r="M41" i="9"/>
  <c r="M97" i="9"/>
  <c r="M107" i="9"/>
  <c r="M82" i="9"/>
  <c r="M43" i="9"/>
  <c r="M64" i="9"/>
  <c r="M103" i="9"/>
  <c r="M45" i="9"/>
  <c r="M6" i="9"/>
  <c r="M101" i="9"/>
  <c r="M38" i="9"/>
  <c r="M122" i="9"/>
  <c r="M127" i="9"/>
  <c r="M63" i="9"/>
  <c r="M10" i="9"/>
  <c r="M40" i="9"/>
  <c r="M108" i="9"/>
  <c r="M60" i="9"/>
  <c r="M125" i="9"/>
  <c r="M123" i="9"/>
  <c r="M128" i="9"/>
  <c r="C16" i="37"/>
  <c r="I62" i="37"/>
  <c r="N6" i="9"/>
  <c r="Q15" i="9"/>
  <c r="I12" i="10"/>
  <c r="V8" i="10"/>
  <c r="X9" i="10"/>
  <c r="U62" i="10"/>
  <c r="U59" i="10"/>
  <c r="U56" i="10"/>
  <c r="U64" i="10"/>
  <c r="U58" i="10"/>
  <c r="U63" i="10"/>
  <c r="U15" i="10"/>
  <c r="U57" i="10"/>
  <c r="U61" i="10"/>
  <c r="U60" i="10"/>
  <c r="U21" i="10"/>
  <c r="U65" i="10"/>
  <c r="U22" i="10"/>
  <c r="U23" i="10"/>
  <c r="U24" i="10"/>
  <c r="U7" i="10"/>
  <c r="U11" i="10"/>
  <c r="U16" i="10"/>
  <c r="U17" i="10"/>
  <c r="U18" i="10"/>
  <c r="U19" i="10"/>
  <c r="U20" i="10"/>
  <c r="L84" i="9"/>
  <c r="L90" i="9"/>
  <c r="L81" i="9"/>
  <c r="L97" i="9"/>
  <c r="L88" i="9"/>
  <c r="L94" i="9"/>
  <c r="L86" i="9"/>
  <c r="L92" i="9"/>
  <c r="L101" i="9"/>
  <c r="L109" i="9"/>
  <c r="L87" i="9"/>
  <c r="L85" i="9"/>
  <c r="L103" i="9"/>
  <c r="L45" i="9"/>
  <c r="L57" i="9"/>
  <c r="L96" i="9"/>
  <c r="L105" i="9"/>
  <c r="L121" i="9"/>
  <c r="L106" i="9"/>
  <c r="L58" i="9"/>
  <c r="L62" i="9"/>
  <c r="L66" i="9"/>
  <c r="L95" i="9"/>
  <c r="L122" i="9"/>
  <c r="L107" i="9"/>
  <c r="L89" i="9"/>
  <c r="L80" i="9"/>
  <c r="L79" i="9"/>
  <c r="L83" i="9"/>
  <c r="L93" i="9"/>
  <c r="L98" i="9"/>
  <c r="L126" i="9"/>
  <c r="L102" i="9"/>
  <c r="L39" i="9"/>
  <c r="L44" i="9"/>
  <c r="L7" i="9"/>
  <c r="L120" i="9"/>
  <c r="L37" i="9"/>
  <c r="L124" i="9"/>
  <c r="L129" i="9"/>
  <c r="L100" i="9"/>
  <c r="L42" i="9"/>
  <c r="L91" i="9"/>
  <c r="L104" i="9"/>
  <c r="L123" i="9"/>
  <c r="L82" i="9"/>
  <c r="L41" i="9"/>
  <c r="L9" i="9"/>
  <c r="L43" i="9"/>
  <c r="L64" i="9"/>
  <c r="L13" i="9"/>
  <c r="L61" i="9"/>
  <c r="L38" i="9"/>
  <c r="L127" i="9"/>
  <c r="L63" i="9"/>
  <c r="L40" i="9"/>
  <c r="L108" i="9"/>
  <c r="L60" i="9"/>
  <c r="L125" i="9"/>
  <c r="L46" i="9"/>
  <c r="L128" i="9"/>
  <c r="L65" i="9"/>
  <c r="L59" i="9"/>
  <c r="I34" i="37"/>
  <c r="I26" i="37"/>
  <c r="I18" i="37"/>
  <c r="I46" i="37"/>
  <c r="M15" i="9"/>
  <c r="O15" i="9"/>
  <c r="Q14" i="9"/>
  <c r="I10" i="10"/>
  <c r="O14" i="10"/>
  <c r="V7" i="10"/>
  <c r="X8" i="10"/>
  <c r="H21" i="10"/>
  <c r="H14" i="10"/>
  <c r="H19" i="10"/>
  <c r="H18" i="10"/>
  <c r="H17" i="10"/>
  <c r="H16" i="10"/>
  <c r="H15" i="10"/>
  <c r="I53" i="37"/>
  <c r="I49" i="37"/>
  <c r="I41" i="37"/>
  <c r="H13" i="10"/>
  <c r="H12" i="10"/>
  <c r="H11" i="10"/>
  <c r="I47" i="37"/>
  <c r="H10" i="10"/>
  <c r="G6" i="10"/>
  <c r="G22" i="10"/>
  <c r="H9" i="10"/>
  <c r="H24" i="10"/>
  <c r="H8" i="10"/>
  <c r="H23" i="10"/>
  <c r="H7" i="10"/>
  <c r="I36" i="37"/>
  <c r="I28" i="37"/>
  <c r="I20" i="37"/>
  <c r="I45" i="37"/>
  <c r="H22" i="10"/>
  <c r="H6" i="10"/>
  <c r="B7" i="35"/>
  <c r="E4" i="32" s="1"/>
  <c r="B6" i="35"/>
  <c r="E3" i="32" s="1"/>
  <c r="E5" i="32"/>
  <c r="O202" i="30"/>
  <c r="P202" i="30" s="1"/>
  <c r="O210" i="30"/>
  <c r="P210" i="30" s="1"/>
  <c r="O198" i="30"/>
  <c r="P198" i="30" s="1"/>
  <c r="O206" i="30"/>
  <c r="P206" i="30" s="1"/>
  <c r="O214" i="30"/>
  <c r="P214" i="30" s="1"/>
  <c r="F8" i="6"/>
  <c r="L28" i="11"/>
  <c r="I9" i="6"/>
  <c r="F11" i="6"/>
  <c r="G9" i="4"/>
  <c r="F12" i="6"/>
  <c r="G13" i="4"/>
  <c r="F7" i="6"/>
  <c r="I13" i="6"/>
  <c r="I8" i="6"/>
  <c r="I6" i="4"/>
  <c r="I10" i="4"/>
  <c r="I11" i="6"/>
  <c r="J28" i="11"/>
  <c r="G6" i="4"/>
  <c r="G10" i="4"/>
  <c r="F10" i="6"/>
  <c r="I12" i="6"/>
  <c r="I5" i="6"/>
  <c r="U5" i="6" s="1"/>
  <c r="I7" i="6"/>
  <c r="C8" i="6"/>
  <c r="C14" i="6" s="1"/>
  <c r="C25" i="11"/>
  <c r="D28" i="11"/>
  <c r="K28" i="11"/>
  <c r="C27" i="11"/>
  <c r="I28" i="11"/>
  <c r="L14" i="4"/>
  <c r="L15" i="4"/>
  <c r="AF18" i="20" s="1"/>
  <c r="AF131" i="3"/>
  <c r="AG131" i="3" s="1"/>
  <c r="O173" i="30"/>
  <c r="P173" i="30" s="1"/>
  <c r="O177" i="30"/>
  <c r="P177" i="30" s="1"/>
  <c r="O181" i="30"/>
  <c r="P181" i="30" s="1"/>
  <c r="O185" i="30"/>
  <c r="P185" i="30" s="1"/>
  <c r="O186" i="30"/>
  <c r="P186" i="30" s="1"/>
  <c r="O189" i="30"/>
  <c r="P189" i="30" s="1"/>
  <c r="O193" i="30"/>
  <c r="P193" i="30" s="1"/>
  <c r="O172" i="30"/>
  <c r="P172" i="30" s="1"/>
  <c r="O176" i="30"/>
  <c r="P176" i="30" s="1"/>
  <c r="O180" i="30"/>
  <c r="P180" i="30" s="1"/>
  <c r="O184" i="30"/>
  <c r="P184" i="30" s="1"/>
  <c r="O197" i="30"/>
  <c r="P197" i="30" s="1"/>
  <c r="O201" i="30"/>
  <c r="P201" i="30" s="1"/>
  <c r="O205" i="30"/>
  <c r="P205" i="30" s="1"/>
  <c r="O209" i="30"/>
  <c r="P209" i="30" s="1"/>
  <c r="O213" i="30"/>
  <c r="P213" i="30" s="1"/>
  <c r="O163" i="30"/>
  <c r="P163" i="30" s="1"/>
  <c r="O131" i="30"/>
  <c r="P131" i="30" s="1"/>
  <c r="O115" i="30"/>
  <c r="P115" i="30" s="1"/>
  <c r="O99" i="30"/>
  <c r="P99" i="30" s="1"/>
  <c r="O168" i="30"/>
  <c r="P168" i="30" s="1"/>
  <c r="O152" i="30"/>
  <c r="P152" i="30" s="1"/>
  <c r="O171" i="30"/>
  <c r="P171" i="30" s="1"/>
  <c r="O175" i="30"/>
  <c r="P175" i="30" s="1"/>
  <c r="O179" i="30"/>
  <c r="P179" i="30" s="1"/>
  <c r="O183" i="30"/>
  <c r="P183" i="30" s="1"/>
  <c r="O196" i="30"/>
  <c r="P196" i="30" s="1"/>
  <c r="O200" i="30"/>
  <c r="P200" i="30" s="1"/>
  <c r="O204" i="30"/>
  <c r="P204" i="30" s="1"/>
  <c r="O208" i="30"/>
  <c r="P208" i="30" s="1"/>
  <c r="O212" i="30"/>
  <c r="P212" i="30" s="1"/>
  <c r="O187" i="30"/>
  <c r="P187" i="30" s="1"/>
  <c r="O191" i="30"/>
  <c r="P191" i="30" s="1"/>
  <c r="O174" i="30"/>
  <c r="P174" i="30" s="1"/>
  <c r="O178" i="30"/>
  <c r="P178" i="30" s="1"/>
  <c r="O182" i="30"/>
  <c r="P182" i="30" s="1"/>
  <c r="O199" i="30"/>
  <c r="P199" i="30" s="1"/>
  <c r="O203" i="30"/>
  <c r="P203" i="30" s="1"/>
  <c r="O207" i="30"/>
  <c r="P207" i="30" s="1"/>
  <c r="O211" i="30"/>
  <c r="P211" i="30" s="1"/>
  <c r="O215" i="30"/>
  <c r="P215" i="30" s="1"/>
  <c r="O190" i="30"/>
  <c r="P190" i="30" s="1"/>
  <c r="O194" i="30"/>
  <c r="P194" i="30" s="1"/>
  <c r="O155" i="30"/>
  <c r="P155" i="30" s="1"/>
  <c r="O147" i="30"/>
  <c r="P147" i="30" s="1"/>
  <c r="O139" i="30"/>
  <c r="P139" i="30" s="1"/>
  <c r="O123" i="30"/>
  <c r="P123" i="30" s="1"/>
  <c r="O107" i="30"/>
  <c r="P107" i="30" s="1"/>
  <c r="O167" i="30"/>
  <c r="P167" i="30" s="1"/>
  <c r="O165" i="30"/>
  <c r="P165" i="30" s="1"/>
  <c r="O162" i="30"/>
  <c r="P162" i="30" s="1"/>
  <c r="O157" i="30"/>
  <c r="P157" i="30" s="1"/>
  <c r="O154" i="30"/>
  <c r="P154" i="30" s="1"/>
  <c r="O151" i="30"/>
  <c r="P151" i="30" s="1"/>
  <c r="O149" i="30"/>
  <c r="P149" i="30" s="1"/>
  <c r="O143" i="30"/>
  <c r="P143" i="30" s="1"/>
  <c r="O141" i="30"/>
  <c r="P141" i="30" s="1"/>
  <c r="O135" i="30"/>
  <c r="P135" i="30" s="1"/>
  <c r="O133" i="30"/>
  <c r="P133" i="30" s="1"/>
  <c r="O127" i="30"/>
  <c r="P127" i="30" s="1"/>
  <c r="O125" i="30"/>
  <c r="P125" i="30" s="1"/>
  <c r="O119" i="30"/>
  <c r="P119" i="30" s="1"/>
  <c r="O117" i="30"/>
  <c r="P117" i="30" s="1"/>
  <c r="O111" i="30"/>
  <c r="P111" i="30" s="1"/>
  <c r="O109" i="30"/>
  <c r="P109" i="30" s="1"/>
  <c r="O103" i="30"/>
  <c r="P103" i="30" s="1"/>
  <c r="O101" i="30"/>
  <c r="P101" i="30" s="1"/>
  <c r="O98" i="30"/>
  <c r="P98" i="30" s="1"/>
  <c r="O95" i="30"/>
  <c r="P95" i="30" s="1"/>
  <c r="O93" i="30"/>
  <c r="P93" i="30" s="1"/>
  <c r="O160" i="30"/>
  <c r="P160" i="30" s="1"/>
  <c r="O144" i="30"/>
  <c r="P144" i="30" s="1"/>
  <c r="O136" i="30"/>
  <c r="P136" i="30" s="1"/>
  <c r="O128" i="30"/>
  <c r="P128" i="30" s="1"/>
  <c r="O120" i="30"/>
  <c r="P120" i="30" s="1"/>
  <c r="O112" i="30"/>
  <c r="P112" i="30" s="1"/>
  <c r="O104" i="30"/>
  <c r="P104" i="30" s="1"/>
  <c r="O96" i="30"/>
  <c r="P96" i="30" s="1"/>
  <c r="O170" i="30"/>
  <c r="P170" i="30" s="1"/>
  <c r="O169" i="30"/>
  <c r="P169" i="30" s="1"/>
  <c r="O161" i="30"/>
  <c r="P161" i="30" s="1"/>
  <c r="O153" i="30"/>
  <c r="P153" i="30" s="1"/>
  <c r="O145" i="30"/>
  <c r="P145" i="30" s="1"/>
  <c r="O137" i="30"/>
  <c r="P137" i="30" s="1"/>
  <c r="O129" i="30"/>
  <c r="P129" i="30" s="1"/>
  <c r="O113" i="30"/>
  <c r="P113" i="30" s="1"/>
  <c r="O105" i="30"/>
  <c r="P105" i="30" s="1"/>
  <c r="O97" i="30"/>
  <c r="P97" i="30" s="1"/>
  <c r="O164" i="30"/>
  <c r="P164" i="30" s="1"/>
  <c r="O159" i="30"/>
  <c r="P159" i="30" s="1"/>
  <c r="O156" i="30"/>
  <c r="P156" i="30" s="1"/>
  <c r="O148" i="30"/>
  <c r="P148" i="30" s="1"/>
  <c r="O140" i="30"/>
  <c r="P140" i="30" s="1"/>
  <c r="O132" i="30"/>
  <c r="P132" i="30" s="1"/>
  <c r="O124" i="30"/>
  <c r="P124" i="30" s="1"/>
  <c r="O116" i="30"/>
  <c r="P116" i="30" s="1"/>
  <c r="O108" i="30"/>
  <c r="P108" i="30" s="1"/>
  <c r="O100" i="30"/>
  <c r="P100" i="30" s="1"/>
  <c r="O92" i="30"/>
  <c r="P92" i="30" s="1"/>
  <c r="O166" i="30"/>
  <c r="P166" i="30" s="1"/>
  <c r="O158" i="30"/>
  <c r="P158" i="30" s="1"/>
  <c r="O118" i="30"/>
  <c r="P118" i="30" s="1"/>
  <c r="O110" i="30"/>
  <c r="P110" i="30" s="1"/>
  <c r="O102" i="30"/>
  <c r="P102" i="30" s="1"/>
  <c r="O94" i="30"/>
  <c r="P94" i="30" s="1"/>
  <c r="O216" i="30"/>
  <c r="P216" i="30" s="1"/>
  <c r="O236" i="30"/>
  <c r="P236" i="30" s="1"/>
  <c r="O240" i="30"/>
  <c r="P240" i="30" s="1"/>
  <c r="O261" i="30"/>
  <c r="P261" i="30" s="1"/>
  <c r="O265" i="30"/>
  <c r="P265" i="30" s="1"/>
  <c r="O269" i="30"/>
  <c r="P269" i="30" s="1"/>
  <c r="O273" i="30"/>
  <c r="P273" i="30" s="1"/>
  <c r="O277" i="30"/>
  <c r="P277" i="30" s="1"/>
  <c r="O281" i="30"/>
  <c r="P281" i="30" s="1"/>
  <c r="O285" i="30"/>
  <c r="P285" i="30" s="1"/>
  <c r="O289" i="30"/>
  <c r="P289" i="30" s="1"/>
  <c r="O293" i="30"/>
  <c r="P293" i="30" s="1"/>
  <c r="O297" i="30"/>
  <c r="P297" i="30" s="1"/>
  <c r="O146" i="30"/>
  <c r="P146" i="30" s="1"/>
  <c r="O138" i="30"/>
  <c r="P138" i="30" s="1"/>
  <c r="O130" i="30"/>
  <c r="P130" i="30" s="1"/>
  <c r="O122" i="30"/>
  <c r="P122" i="30" s="1"/>
  <c r="O114" i="30"/>
  <c r="P114" i="30" s="1"/>
  <c r="O106" i="30"/>
  <c r="P106" i="30" s="1"/>
  <c r="O259" i="30"/>
  <c r="P259" i="30" s="1"/>
  <c r="O263" i="30"/>
  <c r="P263" i="30" s="1"/>
  <c r="O267" i="30"/>
  <c r="P267" i="30" s="1"/>
  <c r="O271" i="30"/>
  <c r="P271" i="30" s="1"/>
  <c r="O275" i="30"/>
  <c r="P275" i="30" s="1"/>
  <c r="O279" i="30"/>
  <c r="P279" i="30" s="1"/>
  <c r="O283" i="30"/>
  <c r="P283" i="30" s="1"/>
  <c r="O287" i="30"/>
  <c r="P287" i="30" s="1"/>
  <c r="O291" i="30"/>
  <c r="P291" i="30" s="1"/>
  <c r="O295" i="30"/>
  <c r="P295" i="30" s="1"/>
  <c r="O220" i="30"/>
  <c r="P220" i="30" s="1"/>
  <c r="O224" i="30"/>
  <c r="P224" i="30" s="1"/>
  <c r="O262" i="30"/>
  <c r="P262" i="30" s="1"/>
  <c r="O266" i="30"/>
  <c r="P266" i="30" s="1"/>
  <c r="O270" i="30"/>
  <c r="P270" i="30" s="1"/>
  <c r="O274" i="30"/>
  <c r="P274" i="30" s="1"/>
  <c r="O278" i="30"/>
  <c r="P278" i="30" s="1"/>
  <c r="O282" i="30"/>
  <c r="P282" i="30" s="1"/>
  <c r="O286" i="30"/>
  <c r="P286" i="30" s="1"/>
  <c r="O290" i="30"/>
  <c r="P290" i="30" s="1"/>
  <c r="O294" i="30"/>
  <c r="P294" i="30" s="1"/>
  <c r="O298" i="30"/>
  <c r="P298" i="30" s="1"/>
  <c r="O217" i="30"/>
  <c r="P217" i="30" s="1"/>
  <c r="O225" i="30"/>
  <c r="P225" i="30" s="1"/>
  <c r="O233" i="30"/>
  <c r="P233" i="30" s="1"/>
  <c r="O241" i="30"/>
  <c r="P241" i="30" s="1"/>
  <c r="O249" i="30"/>
  <c r="P249" i="30" s="1"/>
  <c r="O257" i="30"/>
  <c r="P257" i="30" s="1"/>
  <c r="O223" i="30"/>
  <c r="P223" i="30" s="1"/>
  <c r="O231" i="30"/>
  <c r="P231" i="30" s="1"/>
  <c r="O239" i="30"/>
  <c r="P239" i="30" s="1"/>
  <c r="O247" i="30"/>
  <c r="P247" i="30" s="1"/>
  <c r="O255" i="30"/>
  <c r="P255" i="30" s="1"/>
  <c r="O222" i="30"/>
  <c r="P222" i="30" s="1"/>
  <c r="O230" i="30"/>
  <c r="P230" i="30" s="1"/>
  <c r="O238" i="30"/>
  <c r="P238" i="30" s="1"/>
  <c r="O246" i="30"/>
  <c r="P246" i="30" s="1"/>
  <c r="O254" i="30"/>
  <c r="P254" i="30" s="1"/>
  <c r="O221" i="30"/>
  <c r="P221" i="30" s="1"/>
  <c r="O229" i="30"/>
  <c r="P229" i="30" s="1"/>
  <c r="O237" i="30"/>
  <c r="P237" i="30" s="1"/>
  <c r="O245" i="30"/>
  <c r="P245" i="30" s="1"/>
  <c r="O253" i="30"/>
  <c r="P253" i="30" s="1"/>
  <c r="O299" i="30"/>
  <c r="P299" i="30" s="1"/>
  <c r="O219" i="30"/>
  <c r="P219" i="30" s="1"/>
  <c r="O227" i="30"/>
  <c r="P227" i="30" s="1"/>
  <c r="O235" i="30"/>
  <c r="P235" i="30" s="1"/>
  <c r="O243" i="30"/>
  <c r="P243" i="30" s="1"/>
  <c r="O251" i="30"/>
  <c r="P251" i="30" s="1"/>
  <c r="O218" i="30"/>
  <c r="P218" i="30" s="1"/>
  <c r="O226" i="30"/>
  <c r="P226" i="30" s="1"/>
  <c r="O234" i="30"/>
  <c r="P234" i="30" s="1"/>
  <c r="O242" i="30"/>
  <c r="P242" i="30" s="1"/>
  <c r="O250" i="30"/>
  <c r="P250" i="30" s="1"/>
  <c r="O258" i="30"/>
  <c r="P258" i="30" s="1"/>
  <c r="AF134" i="3"/>
  <c r="AG134" i="3" s="1"/>
  <c r="AR130" i="3"/>
  <c r="AS130" i="3" s="1"/>
  <c r="H127" i="3"/>
  <c r="I127" i="3" s="1"/>
  <c r="V13" i="29"/>
  <c r="F28" i="11"/>
  <c r="AL134" i="3"/>
  <c r="AM134" i="3" s="1"/>
  <c r="T128" i="3"/>
  <c r="U128" i="3" s="1"/>
  <c r="BJ134" i="3"/>
  <c r="BK134" i="3" s="1"/>
  <c r="AC133" i="3"/>
  <c r="AD133" i="3" s="1"/>
  <c r="Z132" i="3"/>
  <c r="AA132" i="3" s="1"/>
  <c r="H134" i="3"/>
  <c r="I134" i="3" s="1"/>
  <c r="AO126" i="3"/>
  <c r="AP126" i="3" s="1"/>
  <c r="AO131" i="3"/>
  <c r="AP131" i="3" s="1"/>
  <c r="W128" i="3"/>
  <c r="X128" i="3" s="1"/>
  <c r="Q135" i="3"/>
  <c r="R135" i="3" s="1"/>
  <c r="BD131" i="3"/>
  <c r="BE131" i="3" s="1"/>
  <c r="BM126" i="3"/>
  <c r="D94" i="14" s="1"/>
  <c r="AU132" i="3"/>
  <c r="AV132" i="3" s="1"/>
  <c r="AL127" i="3"/>
  <c r="AM127" i="3" s="1"/>
  <c r="BJ129" i="3"/>
  <c r="D62" i="14" s="1"/>
  <c r="AL132" i="3"/>
  <c r="AM132" i="3" s="1"/>
  <c r="AF126" i="3"/>
  <c r="AG126" i="3" s="1"/>
  <c r="Z128" i="3"/>
  <c r="AA128" i="3" s="1"/>
  <c r="AX130" i="3"/>
  <c r="AY130" i="3" s="1"/>
  <c r="AF133" i="3"/>
  <c r="AG133" i="3" s="1"/>
  <c r="T134" i="3"/>
  <c r="U134" i="3" s="1"/>
  <c r="E28" i="11"/>
  <c r="C23" i="11"/>
  <c r="M28" i="11"/>
  <c r="H28" i="11"/>
  <c r="G28" i="11"/>
  <c r="AU133" i="3"/>
  <c r="AV133" i="3" s="1"/>
  <c r="AI127" i="3"/>
  <c r="AJ127" i="3" s="1"/>
  <c r="AX129" i="3"/>
  <c r="AY129" i="3" s="1"/>
  <c r="W126" i="3"/>
  <c r="X126" i="3" s="1"/>
  <c r="BM133" i="3"/>
  <c r="BN133" i="3" s="1"/>
  <c r="AR133" i="3"/>
  <c r="AS133" i="3" s="1"/>
  <c r="AR132" i="3"/>
  <c r="AS132" i="3" s="1"/>
  <c r="W135" i="3"/>
  <c r="X135" i="3" s="1"/>
  <c r="AX131" i="3"/>
  <c r="AY131" i="3" s="1"/>
  <c r="BP127" i="3"/>
  <c r="D130" i="14" s="1"/>
  <c r="BP133" i="3"/>
  <c r="D136" i="14" s="1"/>
  <c r="AX135" i="3"/>
  <c r="AY135" i="3" s="1"/>
  <c r="AI131" i="3"/>
  <c r="AJ131" i="3" s="1"/>
  <c r="AO127" i="3"/>
  <c r="AP127" i="3" s="1"/>
  <c r="AL129" i="3"/>
  <c r="AM129" i="3" s="1"/>
  <c r="N131" i="3"/>
  <c r="O131" i="3" s="1"/>
  <c r="AU135" i="3"/>
  <c r="AV135" i="3" s="1"/>
  <c r="BD127" i="3"/>
  <c r="BE127" i="3" s="1"/>
  <c r="T135" i="3"/>
  <c r="U135" i="3" s="1"/>
  <c r="AF132" i="3"/>
  <c r="AG132" i="3" s="1"/>
  <c r="BD135" i="3"/>
  <c r="BE135" i="3" s="1"/>
  <c r="BA127" i="3"/>
  <c r="BB127" i="3" s="1"/>
  <c r="AC134" i="3"/>
  <c r="AD134" i="3" s="1"/>
  <c r="AC132" i="3"/>
  <c r="AD132" i="3" s="1"/>
  <c r="AR131" i="3"/>
  <c r="AS131" i="3" s="1"/>
  <c r="AC131" i="3"/>
  <c r="AD131" i="3" s="1"/>
  <c r="T133" i="3"/>
  <c r="U133" i="3" s="1"/>
  <c r="Q128" i="3"/>
  <c r="R128" i="3" s="1"/>
  <c r="Q131" i="3"/>
  <c r="R131" i="3" s="1"/>
  <c r="BM134" i="3"/>
  <c r="BN134" i="3" s="1"/>
  <c r="AF127" i="3"/>
  <c r="AG127" i="3" s="1"/>
  <c r="AL135" i="3"/>
  <c r="AM135" i="3" s="1"/>
  <c r="Z126" i="3"/>
  <c r="AA126" i="3" s="1"/>
  <c r="AX126" i="3"/>
  <c r="AY126" i="3" s="1"/>
  <c r="AF129" i="3"/>
  <c r="AG129" i="3" s="1"/>
  <c r="N134" i="3"/>
  <c r="O134" i="3" s="1"/>
  <c r="BG135" i="3"/>
  <c r="BH135" i="3" s="1"/>
  <c r="AI130" i="3"/>
  <c r="AJ130" i="3" s="1"/>
  <c r="BD126" i="3"/>
  <c r="BE126" i="3" s="1"/>
  <c r="H133" i="3"/>
  <c r="I133" i="3" s="1"/>
  <c r="AC130" i="3"/>
  <c r="AD130" i="3" s="1"/>
  <c r="BJ132" i="3"/>
  <c r="D65" i="14" s="1"/>
  <c r="Z133" i="3"/>
  <c r="AA133" i="3" s="1"/>
  <c r="BD128" i="3"/>
  <c r="BE128" i="3" s="1"/>
  <c r="Q126" i="3"/>
  <c r="AL130" i="3"/>
  <c r="AM130" i="3" s="1"/>
  <c r="BA135" i="3"/>
  <c r="BB135" i="3" s="1"/>
  <c r="Q129" i="3"/>
  <c r="R129" i="3" s="1"/>
  <c r="BJ127" i="3"/>
  <c r="BK127" i="3" s="1"/>
  <c r="BG128" i="3"/>
  <c r="BH128" i="3" s="1"/>
  <c r="AC128" i="3"/>
  <c r="AD128" i="3" s="1"/>
  <c r="AI126" i="3"/>
  <c r="AJ126" i="3" s="1"/>
  <c r="BM130" i="3"/>
  <c r="D98" i="14" s="1"/>
  <c r="W132" i="3"/>
  <c r="X132" i="3" s="1"/>
  <c r="Z131" i="3"/>
  <c r="AA131" i="3" s="1"/>
  <c r="AC127" i="3"/>
  <c r="AD127" i="3" s="1"/>
  <c r="N126" i="3"/>
  <c r="O126" i="3" s="1"/>
  <c r="BA132" i="3"/>
  <c r="BB132" i="3" s="1"/>
  <c r="AL128" i="3"/>
  <c r="AM128" i="3" s="1"/>
  <c r="BD130" i="3"/>
  <c r="BE130" i="3" s="1"/>
  <c r="H132" i="3"/>
  <c r="I132" i="3" s="1"/>
  <c r="AX133" i="3"/>
  <c r="AY133" i="3" s="1"/>
  <c r="AO129" i="3"/>
  <c r="AP129" i="3" s="1"/>
  <c r="BA134" i="3"/>
  <c r="BB134" i="3" s="1"/>
  <c r="AR134" i="3"/>
  <c r="AS134" i="3" s="1"/>
  <c r="AR135" i="3"/>
  <c r="AS135" i="3" s="1"/>
  <c r="BJ135" i="3"/>
  <c r="D68" i="14" s="1"/>
  <c r="AX132" i="3"/>
  <c r="AY132" i="3" s="1"/>
  <c r="Q127" i="3"/>
  <c r="R127" i="3" s="1"/>
  <c r="BM131" i="3"/>
  <c r="BP135" i="3"/>
  <c r="D138" i="14" s="1"/>
  <c r="AO134" i="3"/>
  <c r="AP134" i="3" s="1"/>
  <c r="BP134" i="3"/>
  <c r="BQ134" i="3" s="1"/>
  <c r="AF128" i="3"/>
  <c r="AG128" i="3" s="1"/>
  <c r="N128" i="3"/>
  <c r="O128" i="3" s="1"/>
  <c r="Q132" i="3"/>
  <c r="R132" i="3" s="1"/>
  <c r="BP128" i="3"/>
  <c r="D131" i="14" s="1"/>
  <c r="AR126" i="3"/>
  <c r="AS126" i="3" s="1"/>
  <c r="AX128" i="3"/>
  <c r="AY128" i="3" s="1"/>
  <c r="Q130" i="3"/>
  <c r="R130" i="3" s="1"/>
  <c r="BM132" i="3"/>
  <c r="D100" i="14" s="1"/>
  <c r="AI135" i="3"/>
  <c r="AJ135" i="3" s="1"/>
  <c r="W127" i="3"/>
  <c r="X127" i="3" s="1"/>
  <c r="BG126" i="3"/>
  <c r="BH126" i="3" s="1"/>
  <c r="T126" i="3"/>
  <c r="U126" i="3" s="1"/>
  <c r="AU130" i="3"/>
  <c r="AV130" i="3" s="1"/>
  <c r="BJ126" i="3"/>
  <c r="BK126" i="3" s="1"/>
  <c r="AI128" i="3"/>
  <c r="AJ128" i="3" s="1"/>
  <c r="BG127" i="3"/>
  <c r="BH127" i="3" s="1"/>
  <c r="T129" i="3"/>
  <c r="U129" i="3" s="1"/>
  <c r="BJ133" i="3"/>
  <c r="BK133" i="3" s="1"/>
  <c r="BM128" i="3"/>
  <c r="D96" i="14" s="1"/>
  <c r="BJ131" i="3"/>
  <c r="BK131" i="3" s="1"/>
  <c r="BD129" i="3"/>
  <c r="BE129" i="3" s="1"/>
  <c r="AO128" i="3"/>
  <c r="AP128" i="3" s="1"/>
  <c r="W134" i="3"/>
  <c r="X134" i="3" s="1"/>
  <c r="AO135" i="3"/>
  <c r="AP135" i="3" s="1"/>
  <c r="BG134" i="3"/>
  <c r="BH134" i="3" s="1"/>
  <c r="AO132" i="3"/>
  <c r="AP132" i="3" s="1"/>
  <c r="Z127" i="3"/>
  <c r="AA127" i="3" s="1"/>
  <c r="AI134" i="3"/>
  <c r="AJ134" i="3" s="1"/>
  <c r="AU127" i="3"/>
  <c r="AV127" i="3" s="1"/>
  <c r="Z134" i="3"/>
  <c r="AA134" i="3" s="1"/>
  <c r="AC129" i="3"/>
  <c r="AD129" i="3" s="1"/>
  <c r="AL131" i="3"/>
  <c r="AM131" i="3" s="1"/>
  <c r="AX127" i="3"/>
  <c r="AY127" i="3" s="1"/>
  <c r="AI129" i="3"/>
  <c r="AJ129" i="3" s="1"/>
  <c r="BM129" i="3"/>
  <c r="D97" i="14" s="1"/>
  <c r="Z135" i="3"/>
  <c r="AA135" i="3" s="1"/>
  <c r="BA126" i="3"/>
  <c r="BB126" i="3" s="1"/>
  <c r="BD133" i="3"/>
  <c r="BE133" i="3" s="1"/>
  <c r="N130" i="3"/>
  <c r="O130" i="3" s="1"/>
  <c r="BG130" i="3"/>
  <c r="BH130" i="3" s="1"/>
  <c r="Q133" i="3"/>
  <c r="R133" i="3" s="1"/>
  <c r="AC135" i="3"/>
  <c r="AD135" i="3" s="1"/>
  <c r="AO133" i="3"/>
  <c r="AP133" i="3" s="1"/>
  <c r="AI133" i="3"/>
  <c r="AJ133" i="3" s="1"/>
  <c r="Z130" i="3"/>
  <c r="AA130" i="3" s="1"/>
  <c r="AU128" i="3"/>
  <c r="AV128" i="3" s="1"/>
  <c r="BA129" i="3"/>
  <c r="BB129" i="3" s="1"/>
  <c r="AR129" i="3"/>
  <c r="AS129" i="3" s="1"/>
  <c r="BP129" i="3"/>
  <c r="D132" i="14" s="1"/>
  <c r="AR127" i="3"/>
  <c r="AS127" i="3" s="1"/>
  <c r="BA131" i="3"/>
  <c r="BB131" i="3" s="1"/>
  <c r="BJ128" i="3"/>
  <c r="BK128" i="3" s="1"/>
  <c r="BD132" i="3"/>
  <c r="BE132" i="3" s="1"/>
  <c r="N133" i="3"/>
  <c r="O133" i="3" s="1"/>
  <c r="BM135" i="3"/>
  <c r="D103" i="14" s="1"/>
  <c r="T132" i="3"/>
  <c r="U132" i="3" s="1"/>
  <c r="H129" i="3"/>
  <c r="I129" i="3" s="1"/>
  <c r="AF130" i="3"/>
  <c r="AG130" i="3" s="1"/>
  <c r="N135" i="3"/>
  <c r="O135" i="3" s="1"/>
  <c r="AI132" i="3"/>
  <c r="AJ132" i="3" s="1"/>
  <c r="BP132" i="3"/>
  <c r="BQ132" i="3" s="1"/>
  <c r="T127" i="3"/>
  <c r="U127" i="3" s="1"/>
  <c r="AR128" i="3"/>
  <c r="AS128" i="3" s="1"/>
  <c r="N127" i="3"/>
  <c r="O127" i="3" s="1"/>
  <c r="AL133" i="3"/>
  <c r="AM133" i="3" s="1"/>
  <c r="AU131" i="3"/>
  <c r="AV131" i="3" s="1"/>
  <c r="BP130" i="3"/>
  <c r="D133" i="14" s="1"/>
  <c r="BP126" i="3"/>
  <c r="D129" i="14" s="1"/>
  <c r="AL126" i="3"/>
  <c r="AM126" i="3" s="1"/>
  <c r="AF135" i="3"/>
  <c r="AG135" i="3" s="1"/>
  <c r="W131" i="3"/>
  <c r="X131" i="3" s="1"/>
  <c r="H126" i="3"/>
  <c r="I126" i="3" s="1"/>
  <c r="BG131" i="3"/>
  <c r="BH131" i="3" s="1"/>
  <c r="Q134" i="3"/>
  <c r="R134" i="3" s="1"/>
  <c r="BA133" i="3"/>
  <c r="BB133" i="3" s="1"/>
  <c r="BJ130" i="3"/>
  <c r="D63" i="14" s="1"/>
  <c r="BD134" i="3"/>
  <c r="BE134" i="3" s="1"/>
  <c r="AU129" i="3"/>
  <c r="AV129" i="3" s="1"/>
  <c r="BP131" i="3"/>
  <c r="BQ131" i="3" s="1"/>
  <c r="AX134" i="3"/>
  <c r="AY134" i="3" s="1"/>
  <c r="BM127" i="3"/>
  <c r="D95" i="14" s="1"/>
  <c r="BA128" i="3"/>
  <c r="BB128" i="3" s="1"/>
  <c r="BG133" i="3"/>
  <c r="BH133" i="3" s="1"/>
  <c r="Z129" i="3"/>
  <c r="AA129" i="3" s="1"/>
  <c r="H130" i="3"/>
  <c r="I130" i="3" s="1"/>
  <c r="W129" i="3"/>
  <c r="X129" i="3" s="1"/>
  <c r="H131" i="3"/>
  <c r="D29" i="14" s="1"/>
  <c r="T130" i="3"/>
  <c r="U130" i="3" s="1"/>
  <c r="AU134" i="3"/>
  <c r="AV134" i="3" s="1"/>
  <c r="BA130" i="3"/>
  <c r="BB130" i="3" s="1"/>
  <c r="BG132" i="3"/>
  <c r="BH132" i="3" s="1"/>
  <c r="BG129" i="3"/>
  <c r="BH129" i="3" s="1"/>
  <c r="W130" i="3"/>
  <c r="X130" i="3" s="1"/>
  <c r="H135" i="3"/>
  <c r="I135" i="3" s="1"/>
  <c r="AC126" i="3"/>
  <c r="AD126" i="3" s="1"/>
  <c r="AO130" i="3"/>
  <c r="AP130" i="3" s="1"/>
  <c r="W133" i="3"/>
  <c r="X133" i="3" s="1"/>
  <c r="T131" i="3"/>
  <c r="U131" i="3" s="1"/>
  <c r="AU126" i="3"/>
  <c r="AV126" i="3" s="1"/>
  <c r="N132" i="3"/>
  <c r="O132" i="3" s="1"/>
  <c r="H128" i="3"/>
  <c r="I128" i="3" s="1"/>
  <c r="N129" i="3"/>
  <c r="O129" i="3" s="1"/>
  <c r="N71" i="3"/>
  <c r="O71" i="3" s="1"/>
  <c r="N101" i="3" s="1"/>
  <c r="O101" i="3" s="1"/>
  <c r="BA69" i="3"/>
  <c r="BA79" i="3" s="1"/>
  <c r="BG74" i="3"/>
  <c r="BH74" i="3" s="1"/>
  <c r="BG104" i="3" s="1"/>
  <c r="BH104" i="3" s="1"/>
  <c r="AR70" i="3"/>
  <c r="AS70" i="3" s="1"/>
  <c r="AR100" i="3" s="1"/>
  <c r="AS100" i="3" s="1"/>
  <c r="BD69" i="3"/>
  <c r="BD79" i="3" s="1"/>
  <c r="BG75" i="3"/>
  <c r="BH75" i="3" s="1"/>
  <c r="BG105" i="3" s="1"/>
  <c r="BH105" i="3" s="1"/>
  <c r="AI66" i="3"/>
  <c r="AI76" i="3" s="1"/>
  <c r="AJ76" i="3" s="1"/>
  <c r="AO69" i="3"/>
  <c r="AP69" i="3" s="1"/>
  <c r="AO99" i="3" s="1"/>
  <c r="AP99" i="3" s="1"/>
  <c r="Q66" i="3"/>
  <c r="R66" i="3" s="1"/>
  <c r="Q96" i="3" s="1"/>
  <c r="R96" i="3" s="1"/>
  <c r="BP74" i="3"/>
  <c r="BQ74" i="3" s="1"/>
  <c r="BP104" i="3" s="1"/>
  <c r="BQ104" i="3" s="1"/>
  <c r="AC70" i="3"/>
  <c r="AD70" i="3" s="1"/>
  <c r="AC100" i="3" s="1"/>
  <c r="AD100" i="3" s="1"/>
  <c r="N70" i="3"/>
  <c r="N80" i="3" s="1"/>
  <c r="BM72" i="3"/>
  <c r="BN72" i="3" s="1"/>
  <c r="BM102" i="3" s="1"/>
  <c r="BN102" i="3" s="1"/>
  <c r="H68" i="3"/>
  <c r="I68" i="3" s="1"/>
  <c r="H98" i="3" s="1"/>
  <c r="I98" i="3" s="1"/>
  <c r="BJ69" i="3"/>
  <c r="BK69" i="3" s="1"/>
  <c r="BJ99" i="3" s="1"/>
  <c r="BK99" i="3" s="1"/>
  <c r="T74" i="3"/>
  <c r="U74" i="3" s="1"/>
  <c r="T104" i="3" s="1"/>
  <c r="U104" i="3" s="1"/>
  <c r="AX69" i="3"/>
  <c r="AX79" i="3" s="1"/>
  <c r="W75" i="3"/>
  <c r="X75" i="3" s="1"/>
  <c r="W105" i="3" s="1"/>
  <c r="X105" i="3" s="1"/>
  <c r="Z71" i="3"/>
  <c r="Z81" i="3" s="1"/>
  <c r="AA81" i="3" s="1"/>
  <c r="BG73" i="3"/>
  <c r="BH73" i="3" s="1"/>
  <c r="BG103" i="3" s="1"/>
  <c r="BH103" i="3" s="1"/>
  <c r="BP73" i="3"/>
  <c r="BQ73" i="3" s="1"/>
  <c r="BP103" i="3" s="1"/>
  <c r="BQ103" i="3" s="1"/>
  <c r="Z72" i="3"/>
  <c r="Z82" i="3" s="1"/>
  <c r="BM70" i="3"/>
  <c r="BN70" i="3" s="1"/>
  <c r="BM100" i="3" s="1"/>
  <c r="BN100" i="3" s="1"/>
  <c r="AU67" i="3"/>
  <c r="AU77" i="3" s="1"/>
  <c r="AU71" i="3"/>
  <c r="AV71" i="3" s="1"/>
  <c r="AU101" i="3" s="1"/>
  <c r="AV101" i="3" s="1"/>
  <c r="E167" i="9"/>
  <c r="E168" i="9"/>
  <c r="I4" i="37"/>
  <c r="E169" i="9"/>
  <c r="E159" i="9"/>
  <c r="E157" i="9"/>
  <c r="E170" i="9"/>
  <c r="I16" i="37"/>
  <c r="T12" i="37" s="1"/>
  <c r="E160" i="9"/>
  <c r="E158" i="9"/>
  <c r="H73" i="3"/>
  <c r="I73" i="3" s="1"/>
  <c r="H103" i="3" s="1"/>
  <c r="I103" i="3" s="1"/>
  <c r="BA66" i="3"/>
  <c r="BA72" i="3"/>
  <c r="BB72" i="3" s="1"/>
  <c r="BA102" i="3" s="1"/>
  <c r="BB102" i="3" s="1"/>
  <c r="H75" i="3"/>
  <c r="BA68" i="3"/>
  <c r="BB68" i="3" s="1"/>
  <c r="BA98" i="3" s="1"/>
  <c r="BB98" i="3" s="1"/>
  <c r="Q75" i="3"/>
  <c r="R75" i="3" s="1"/>
  <c r="Q105" i="3" s="1"/>
  <c r="R105" i="3" s="1"/>
  <c r="BD68" i="3"/>
  <c r="AL74" i="3"/>
  <c r="AR72" i="3"/>
  <c r="AS72" i="3" s="1"/>
  <c r="AR102" i="3" s="1"/>
  <c r="AS102" i="3" s="1"/>
  <c r="AL73" i="3"/>
  <c r="AC75" i="3"/>
  <c r="AU72" i="3"/>
  <c r="AU82" i="3" s="1"/>
  <c r="BD67" i="3"/>
  <c r="Z74" i="3"/>
  <c r="AA74" i="3" s="1"/>
  <c r="Z104" i="3" s="1"/>
  <c r="AA104" i="3" s="1"/>
  <c r="BA75" i="3"/>
  <c r="BA85" i="3" s="1"/>
  <c r="AF74" i="3"/>
  <c r="AG74" i="3" s="1"/>
  <c r="AF104" i="3" s="1"/>
  <c r="AG104" i="3" s="1"/>
  <c r="AX66" i="3"/>
  <c r="AY66" i="3" s="1"/>
  <c r="AX96" i="3" s="1"/>
  <c r="AY96" i="3" s="1"/>
  <c r="BG71" i="3"/>
  <c r="T68" i="3"/>
  <c r="T78" i="3" s="1"/>
  <c r="U78" i="3" s="1"/>
  <c r="AX67" i="3"/>
  <c r="T70" i="3"/>
  <c r="Q68" i="3"/>
  <c r="AL67" i="3"/>
  <c r="AL77" i="3" s="1"/>
  <c r="BJ66" i="3"/>
  <c r="BJ76" i="3" s="1"/>
  <c r="AC69" i="3"/>
  <c r="AL68" i="3"/>
  <c r="AM68" i="3" s="1"/>
  <c r="AL98" i="3" s="1"/>
  <c r="AM98" i="3" s="1"/>
  <c r="BJ72" i="3"/>
  <c r="BJ82" i="3" s="1"/>
  <c r="T73" i="3"/>
  <c r="AO68" i="3"/>
  <c r="AP68" i="3" s="1"/>
  <c r="AO98" i="3" s="1"/>
  <c r="AP98" i="3" s="1"/>
  <c r="BJ74" i="3"/>
  <c r="BJ84" i="3" s="1"/>
  <c r="AL69" i="3"/>
  <c r="AC68" i="3"/>
  <c r="AD68" i="3" s="1"/>
  <c r="AC98" i="3" s="1"/>
  <c r="AD98" i="3" s="1"/>
  <c r="AO67" i="3"/>
  <c r="AP67" i="3" s="1"/>
  <c r="AO97" i="3" s="1"/>
  <c r="AP97" i="3" s="1"/>
  <c r="AI72" i="3"/>
  <c r="AJ72" i="3" s="1"/>
  <c r="AI102" i="3" s="1"/>
  <c r="AJ102" i="3" s="1"/>
  <c r="AX71" i="3"/>
  <c r="AY71" i="3" s="1"/>
  <c r="AX101" i="3" s="1"/>
  <c r="AY101" i="3" s="1"/>
  <c r="Z68" i="3"/>
  <c r="AL66" i="3"/>
  <c r="Z73" i="3"/>
  <c r="AA73" i="3" s="1"/>
  <c r="Z103" i="3" s="1"/>
  <c r="AA103" i="3" s="1"/>
  <c r="W71" i="3"/>
  <c r="X71" i="3" s="1"/>
  <c r="W101" i="3" s="1"/>
  <c r="X101" i="3" s="1"/>
  <c r="BM66" i="3"/>
  <c r="AR73" i="3"/>
  <c r="H74" i="3"/>
  <c r="AF70" i="3"/>
  <c r="AO71" i="3"/>
  <c r="H67" i="3"/>
  <c r="N74" i="3"/>
  <c r="H71" i="3"/>
  <c r="AC74" i="3"/>
  <c r="AF67" i="3"/>
  <c r="W72" i="3"/>
  <c r="X72" i="3" s="1"/>
  <c r="W102" i="3" s="1"/>
  <c r="X102" i="3" s="1"/>
  <c r="BG72" i="3"/>
  <c r="BG82" i="3" s="1"/>
  <c r="W68" i="3"/>
  <c r="X68" i="3" s="1"/>
  <c r="W98" i="3" s="1"/>
  <c r="X98" i="3" s="1"/>
  <c r="BP72" i="3"/>
  <c r="H69" i="3"/>
  <c r="I69" i="3" s="1"/>
  <c r="H99" i="3" s="1"/>
  <c r="I99" i="3" s="1"/>
  <c r="AL72" i="3"/>
  <c r="AM72" i="3" s="1"/>
  <c r="AL102" i="3" s="1"/>
  <c r="AM102" i="3" s="1"/>
  <c r="Z70" i="3"/>
  <c r="AA70" i="3" s="1"/>
  <c r="Z100" i="3" s="1"/>
  <c r="AA100" i="3" s="1"/>
  <c r="AR75" i="3"/>
  <c r="AS75" i="3" s="1"/>
  <c r="AR105" i="3" s="1"/>
  <c r="AS105" i="3" s="1"/>
  <c r="BP70" i="3"/>
  <c r="BQ70" i="3" s="1"/>
  <c r="BP100" i="3" s="1"/>
  <c r="BQ100" i="3" s="1"/>
  <c r="Z69" i="3"/>
  <c r="AA69" i="3" s="1"/>
  <c r="Z99" i="3" s="1"/>
  <c r="AA99" i="3" s="1"/>
  <c r="BD75" i="3"/>
  <c r="BD85" i="3" s="1"/>
  <c r="AO75" i="3"/>
  <c r="AO85" i="3" s="1"/>
  <c r="AF68" i="3"/>
  <c r="AF78" i="3" s="1"/>
  <c r="Z67" i="3"/>
  <c r="AA67" i="3" s="1"/>
  <c r="Z97" i="3" s="1"/>
  <c r="AA97" i="3" s="1"/>
  <c r="BP67" i="3"/>
  <c r="BQ67" i="3" s="1"/>
  <c r="BP97" i="3" s="1"/>
  <c r="BQ97" i="3" s="1"/>
  <c r="BG68" i="3"/>
  <c r="BH68" i="3" s="1"/>
  <c r="BG98" i="3" s="1"/>
  <c r="BH98" i="3" s="1"/>
  <c r="H72" i="3"/>
  <c r="I72" i="3" s="1"/>
  <c r="H102" i="3" s="1"/>
  <c r="I102" i="3" s="1"/>
  <c r="N68" i="3"/>
  <c r="AX74" i="3"/>
  <c r="AX84" i="3" s="1"/>
  <c r="BD71" i="3"/>
  <c r="Q74" i="3"/>
  <c r="Q84" i="3" s="1"/>
  <c r="AX75" i="3"/>
  <c r="AY75" i="3" s="1"/>
  <c r="AX105" i="3" s="1"/>
  <c r="AY105" i="3" s="1"/>
  <c r="W73" i="3"/>
  <c r="X73" i="3" s="1"/>
  <c r="W103" i="3" s="1"/>
  <c r="X103" i="3" s="1"/>
  <c r="BG70" i="3"/>
  <c r="BG80" i="3" s="1"/>
  <c r="BJ71" i="3"/>
  <c r="BK71" i="3" s="1"/>
  <c r="BJ101" i="3" s="1"/>
  <c r="BK101" i="3" s="1"/>
  <c r="AI68" i="3"/>
  <c r="AJ68" i="3" s="1"/>
  <c r="AI98" i="3" s="1"/>
  <c r="AJ98" i="3" s="1"/>
  <c r="BM67" i="3"/>
  <c r="BN67" i="3" s="1"/>
  <c r="BM97" i="3" s="1"/>
  <c r="BN97" i="3" s="1"/>
  <c r="AI69" i="3"/>
  <c r="AJ69" i="3" s="1"/>
  <c r="AI99" i="3" s="1"/>
  <c r="AJ99" i="3" s="1"/>
  <c r="AI73" i="3"/>
  <c r="AJ73" i="3" s="1"/>
  <c r="AI103" i="3" s="1"/>
  <c r="AJ103" i="3" s="1"/>
  <c r="AL71" i="3"/>
  <c r="AM71" i="3" s="1"/>
  <c r="AL101" i="3" s="1"/>
  <c r="AM101" i="3" s="1"/>
  <c r="BG66" i="3"/>
  <c r="BH66" i="3" s="1"/>
  <c r="BG96" i="3" s="1"/>
  <c r="BH96" i="3" s="1"/>
  <c r="W66" i="3"/>
  <c r="X66" i="3" s="1"/>
  <c r="W96" i="3" s="1"/>
  <c r="X96" i="3" s="1"/>
  <c r="BJ68" i="3"/>
  <c r="BK68" i="3" s="1"/>
  <c r="BJ98" i="3" s="1"/>
  <c r="BK98" i="3" s="1"/>
  <c r="Z66" i="3"/>
  <c r="AA66" i="3" s="1"/>
  <c r="Z96" i="3" s="1"/>
  <c r="AA96" i="3" s="1"/>
  <c r="AX72" i="3"/>
  <c r="AX82" i="3" s="1"/>
  <c r="AY82" i="3" s="1"/>
  <c r="N73" i="3"/>
  <c r="N83" i="3" s="1"/>
  <c r="BM73" i="3"/>
  <c r="BN73" i="3" s="1"/>
  <c r="BM103" i="3" s="1"/>
  <c r="BN103" i="3" s="1"/>
  <c r="N75" i="3"/>
  <c r="O75" i="3" s="1"/>
  <c r="N105" i="3" s="1"/>
  <c r="O105" i="3" s="1"/>
  <c r="AU69" i="3"/>
  <c r="AU79" i="3" s="1"/>
  <c r="Q69" i="3"/>
  <c r="R69" i="3" s="1"/>
  <c r="Q99" i="3" s="1"/>
  <c r="R99" i="3" s="1"/>
  <c r="AX70" i="3"/>
  <c r="AY70" i="3" s="1"/>
  <c r="AX100" i="3" s="1"/>
  <c r="AY100" i="3" s="1"/>
  <c r="N67" i="3"/>
  <c r="O67" i="3" s="1"/>
  <c r="N97" i="3" s="1"/>
  <c r="O97" i="3" s="1"/>
  <c r="AU66" i="3"/>
  <c r="AV66" i="3" s="1"/>
  <c r="AU96" i="3" s="1"/>
  <c r="AV96" i="3" s="1"/>
  <c r="BM71" i="3"/>
  <c r="BN71" i="3" s="1"/>
  <c r="BM101" i="3" s="1"/>
  <c r="BN101" i="3" s="1"/>
  <c r="AC71" i="3"/>
  <c r="AX73" i="3"/>
  <c r="AY73" i="3" s="1"/>
  <c r="AX103" i="3" s="1"/>
  <c r="AY103" i="3" s="1"/>
  <c r="BP68" i="3"/>
  <c r="BQ68" i="3" s="1"/>
  <c r="BP98" i="3" s="1"/>
  <c r="BQ98" i="3" s="1"/>
  <c r="Q73" i="3"/>
  <c r="R73" i="3" s="1"/>
  <c r="Q103" i="3" s="1"/>
  <c r="R103" i="3" s="1"/>
  <c r="AU74" i="3"/>
  <c r="AV74" i="3" s="1"/>
  <c r="AU104" i="3" s="1"/>
  <c r="AV104" i="3" s="1"/>
  <c r="AI67" i="3"/>
  <c r="AJ67" i="3" s="1"/>
  <c r="AI97" i="3" s="1"/>
  <c r="AJ97" i="3" s="1"/>
  <c r="BA70" i="3"/>
  <c r="BA80" i="3" s="1"/>
  <c r="BB80" i="3" s="1"/>
  <c r="BG69" i="3"/>
  <c r="BH69" i="3" s="1"/>
  <c r="BG99" i="3" s="1"/>
  <c r="BH99" i="3" s="1"/>
  <c r="H70" i="3"/>
  <c r="I70" i="3" s="1"/>
  <c r="H100" i="3" s="1"/>
  <c r="I100" i="3" s="1"/>
  <c r="BD66" i="3"/>
  <c r="BE66" i="3" s="1"/>
  <c r="BD96" i="3" s="1"/>
  <c r="BE96" i="3" s="1"/>
  <c r="AF75" i="3"/>
  <c r="AG75" i="3" s="1"/>
  <c r="AF105" i="3" s="1"/>
  <c r="AG105" i="3" s="1"/>
  <c r="AC66" i="3"/>
  <c r="AC76" i="3" s="1"/>
  <c r="BD70" i="3"/>
  <c r="BE70" i="3" s="1"/>
  <c r="BD100" i="3" s="1"/>
  <c r="BE100" i="3" s="1"/>
  <c r="Q71" i="3"/>
  <c r="R71" i="3" s="1"/>
  <c r="Q101" i="3" s="1"/>
  <c r="R101" i="3" s="1"/>
  <c r="BA73" i="3"/>
  <c r="BA83" i="3" s="1"/>
  <c r="N69" i="3"/>
  <c r="O69" i="3" s="1"/>
  <c r="N99" i="3" s="1"/>
  <c r="O99" i="3" s="1"/>
  <c r="AO70" i="3"/>
  <c r="AP70" i="3" s="1"/>
  <c r="AO100" i="3" s="1"/>
  <c r="AP100" i="3" s="1"/>
  <c r="AC72" i="3"/>
  <c r="AD72" i="3" s="1"/>
  <c r="AC102" i="3" s="1"/>
  <c r="AD102" i="3" s="1"/>
  <c r="AR74" i="3"/>
  <c r="AS74" i="3" s="1"/>
  <c r="AR104" i="3" s="1"/>
  <c r="AS104" i="3" s="1"/>
  <c r="AF72" i="3"/>
  <c r="AG72" i="3" s="1"/>
  <c r="AF102" i="3" s="1"/>
  <c r="AG102" i="3" s="1"/>
  <c r="W70" i="3"/>
  <c r="W80" i="3" s="1"/>
  <c r="X80" i="3" s="1"/>
  <c r="AI71" i="3"/>
  <c r="AJ71" i="3" s="1"/>
  <c r="AI101" i="3" s="1"/>
  <c r="AJ101" i="3" s="1"/>
  <c r="AL70" i="3"/>
  <c r="AM70" i="3" s="1"/>
  <c r="AL100" i="3" s="1"/>
  <c r="AM100" i="3" s="1"/>
  <c r="BP66" i="3"/>
  <c r="BQ66" i="3" s="1"/>
  <c r="BP96" i="3" s="1"/>
  <c r="BQ96" i="3" s="1"/>
  <c r="AX68" i="3"/>
  <c r="AY68" i="3" s="1"/>
  <c r="AX98" i="3" s="1"/>
  <c r="AY98" i="3" s="1"/>
  <c r="Q67" i="3"/>
  <c r="R67" i="3" s="1"/>
  <c r="Q97" i="3" s="1"/>
  <c r="R97" i="3" s="1"/>
  <c r="BJ75" i="3"/>
  <c r="BK75" i="3" s="1"/>
  <c r="BJ105" i="3" s="1"/>
  <c r="BK105" i="3" s="1"/>
  <c r="AR67" i="3"/>
  <c r="AS67" i="3" s="1"/>
  <c r="AR97" i="3" s="1"/>
  <c r="AS97" i="3" s="1"/>
  <c r="BP75" i="3"/>
  <c r="BQ75" i="3" s="1"/>
  <c r="BP105" i="3" s="1"/>
  <c r="BQ105" i="3" s="1"/>
  <c r="AF71" i="3"/>
  <c r="AG71" i="3" s="1"/>
  <c r="AF101" i="3" s="1"/>
  <c r="AG101" i="3" s="1"/>
  <c r="BA71" i="3"/>
  <c r="BA81" i="3" s="1"/>
  <c r="H66" i="3"/>
  <c r="I66" i="3" s="1"/>
  <c r="H96" i="3" s="1"/>
  <c r="I96" i="3" s="1"/>
  <c r="T72" i="3"/>
  <c r="T82" i="3" s="1"/>
  <c r="BA74" i="3"/>
  <c r="BB74" i="3" s="1"/>
  <c r="BA104" i="3" s="1"/>
  <c r="BB104" i="3" s="1"/>
  <c r="BP69" i="3"/>
  <c r="BQ69" i="3" s="1"/>
  <c r="BP99" i="3" s="1"/>
  <c r="BQ99" i="3" s="1"/>
  <c r="AU73" i="3"/>
  <c r="AU83" i="3" s="1"/>
  <c r="AC67" i="3"/>
  <c r="AC77" i="3" s="1"/>
  <c r="AD77" i="3" s="1"/>
  <c r="BP71" i="3"/>
  <c r="BQ71" i="3" s="1"/>
  <c r="BP101" i="3" s="1"/>
  <c r="BQ101" i="3" s="1"/>
  <c r="T69" i="3"/>
  <c r="U69" i="3" s="1"/>
  <c r="T99" i="3" s="1"/>
  <c r="U99" i="3" s="1"/>
  <c r="BJ73" i="3"/>
  <c r="BK73" i="3" s="1"/>
  <c r="BJ103" i="3" s="1"/>
  <c r="BK103" i="3" s="1"/>
  <c r="AR71" i="3"/>
  <c r="AR81" i="3" s="1"/>
  <c r="AS81" i="3" s="1"/>
  <c r="BD73" i="3"/>
  <c r="BE73" i="3" s="1"/>
  <c r="BD103" i="3" s="1"/>
  <c r="BE103" i="3" s="1"/>
  <c r="AU70" i="3"/>
  <c r="AV70" i="3" s="1"/>
  <c r="AU100" i="3" s="1"/>
  <c r="AV100" i="3" s="1"/>
  <c r="T71" i="3"/>
  <c r="U71" i="3" s="1"/>
  <c r="T101" i="3" s="1"/>
  <c r="U101" i="3" s="1"/>
  <c r="AF66" i="3"/>
  <c r="AF76" i="3" s="1"/>
  <c r="AG76" i="3" s="1"/>
  <c r="BM74" i="3"/>
  <c r="BN74" i="3" s="1"/>
  <c r="BM104" i="3" s="1"/>
  <c r="BN104" i="3" s="1"/>
  <c r="BJ67" i="3"/>
  <c r="BJ77" i="3" s="1"/>
  <c r="AR68" i="3"/>
  <c r="AR78" i="3" s="1"/>
  <c r="AF73" i="3"/>
  <c r="AG73" i="3" s="1"/>
  <c r="AF103" i="3" s="1"/>
  <c r="AG103" i="3" s="1"/>
  <c r="N66" i="3"/>
  <c r="O66" i="3" s="1"/>
  <c r="N96" i="3" s="1"/>
  <c r="O96" i="3" s="1"/>
  <c r="AR69" i="3"/>
  <c r="AR79" i="3" s="1"/>
  <c r="T67" i="3"/>
  <c r="U67" i="3" s="1"/>
  <c r="T97" i="3" s="1"/>
  <c r="U97" i="3" s="1"/>
  <c r="BM69" i="3"/>
  <c r="BN69" i="3" s="1"/>
  <c r="BM99" i="3" s="1"/>
  <c r="BN99" i="3" s="1"/>
  <c r="T75" i="3"/>
  <c r="U75" i="3" s="1"/>
  <c r="T105" i="3" s="1"/>
  <c r="U105" i="3" s="1"/>
  <c r="BJ70" i="3"/>
  <c r="BK70" i="3" s="1"/>
  <c r="BJ100" i="3" s="1"/>
  <c r="BK100" i="3" s="1"/>
  <c r="AC73" i="3"/>
  <c r="AD73" i="3" s="1"/>
  <c r="AC103" i="3" s="1"/>
  <c r="AD103" i="3" s="1"/>
  <c r="AF69" i="3"/>
  <c r="AG69" i="3" s="1"/>
  <c r="AF99" i="3" s="1"/>
  <c r="AG99" i="3" s="1"/>
  <c r="AR66" i="3"/>
  <c r="AS66" i="3" s="1"/>
  <c r="AR96" i="3" s="1"/>
  <c r="AS96" i="3" s="1"/>
  <c r="W74" i="3"/>
  <c r="W84" i="3" s="1"/>
  <c r="AI75" i="3"/>
  <c r="AI85" i="3" s="1"/>
  <c r="BD74" i="3"/>
  <c r="BE74" i="3" s="1"/>
  <c r="BD104" i="3" s="1"/>
  <c r="BE104" i="3" s="1"/>
  <c r="AO74" i="3"/>
  <c r="AP74" i="3" s="1"/>
  <c r="AO104" i="3" s="1"/>
  <c r="AP104" i="3" s="1"/>
  <c r="W69" i="3"/>
  <c r="X69" i="3" s="1"/>
  <c r="W99" i="3" s="1"/>
  <c r="X99" i="3" s="1"/>
  <c r="AO66" i="3"/>
  <c r="AP66" i="3" s="1"/>
  <c r="AO96" i="3" s="1"/>
  <c r="AP96" i="3" s="1"/>
  <c r="Z75" i="3"/>
  <c r="AA75" i="3" s="1"/>
  <c r="Z105" i="3" s="1"/>
  <c r="AA105" i="3" s="1"/>
  <c r="BM75" i="3"/>
  <c r="BN75" i="3" s="1"/>
  <c r="BM105" i="3" s="1"/>
  <c r="BN105" i="3" s="1"/>
  <c r="Q72" i="3"/>
  <c r="R72" i="3" s="1"/>
  <c r="Q102" i="3" s="1"/>
  <c r="R102" i="3" s="1"/>
  <c r="BG67" i="3"/>
  <c r="BG77" i="3" s="1"/>
  <c r="Q70" i="3"/>
  <c r="R70" i="3" s="1"/>
  <c r="Q100" i="3" s="1"/>
  <c r="R100" i="3" s="1"/>
  <c r="BA67" i="3"/>
  <c r="BB67" i="3" s="1"/>
  <c r="BA97" i="3" s="1"/>
  <c r="BB97" i="3" s="1"/>
  <c r="BD72" i="3"/>
  <c r="BD82" i="3" s="1"/>
  <c r="BE82" i="3" s="1"/>
  <c r="AL75" i="3"/>
  <c r="AM75" i="3" s="1"/>
  <c r="AL105" i="3" s="1"/>
  <c r="AM105" i="3" s="1"/>
  <c r="T66" i="3"/>
  <c r="T76" i="3" s="1"/>
  <c r="U76" i="3" s="1"/>
  <c r="W67" i="3"/>
  <c r="W77" i="3" s="1"/>
  <c r="BM68" i="3"/>
  <c r="BM78" i="3" s="1"/>
  <c r="AI70" i="3"/>
  <c r="AJ70" i="3" s="1"/>
  <c r="AI100" i="3" s="1"/>
  <c r="AJ100" i="3" s="1"/>
  <c r="AU75" i="3"/>
  <c r="AV75" i="3" s="1"/>
  <c r="AU105" i="3" s="1"/>
  <c r="AV105" i="3" s="1"/>
  <c r="AO73" i="3"/>
  <c r="AP73" i="3" s="1"/>
  <c r="AO103" i="3" s="1"/>
  <c r="AP103" i="3" s="1"/>
  <c r="AO72" i="3"/>
  <c r="AP72" i="3" s="1"/>
  <c r="AO102" i="3" s="1"/>
  <c r="AP102" i="3" s="1"/>
  <c r="AI74" i="3"/>
  <c r="AJ74" i="3" s="1"/>
  <c r="AI104" i="3" s="1"/>
  <c r="AJ104" i="3" s="1"/>
  <c r="AU68" i="3"/>
  <c r="AV68" i="3" s="1"/>
  <c r="AU98" i="3" s="1"/>
  <c r="AV98" i="3" s="1"/>
  <c r="N72" i="3"/>
  <c r="N82" i="3" s="1"/>
  <c r="K74" i="3"/>
  <c r="L74" i="3" s="1"/>
  <c r="K104" i="3" s="1"/>
  <c r="L104" i="3" s="1"/>
  <c r="K135" i="3"/>
  <c r="K133" i="3"/>
  <c r="K131" i="3"/>
  <c r="L127" i="3"/>
  <c r="K134" i="3"/>
  <c r="K130" i="3"/>
  <c r="K126" i="3"/>
  <c r="K129" i="3"/>
  <c r="K132" i="3"/>
  <c r="K128" i="3"/>
  <c r="K71" i="3"/>
  <c r="K81" i="3" s="1"/>
  <c r="K70" i="3"/>
  <c r="K80" i="3" s="1"/>
  <c r="K69" i="3"/>
  <c r="K68" i="3"/>
  <c r="L68" i="3" s="1"/>
  <c r="K98" i="3" s="1"/>
  <c r="K75" i="3"/>
  <c r="K85" i="3" s="1"/>
  <c r="K73" i="3"/>
  <c r="K72" i="3"/>
  <c r="K77" i="3"/>
  <c r="L67" i="3"/>
  <c r="K66" i="3"/>
  <c r="AY84" i="3" l="1"/>
  <c r="L17" i="30"/>
  <c r="L33" i="30"/>
  <c r="L49" i="30"/>
  <c r="L65" i="30"/>
  <c r="L18" i="30"/>
  <c r="L34" i="30"/>
  <c r="L50" i="30"/>
  <c r="L66" i="30"/>
  <c r="L19" i="30"/>
  <c r="L35" i="30"/>
  <c r="L51" i="30"/>
  <c r="L67" i="30"/>
  <c r="L48" i="30"/>
  <c r="L20" i="30"/>
  <c r="L36" i="30"/>
  <c r="L52" i="30"/>
  <c r="L68" i="30"/>
  <c r="L21" i="30"/>
  <c r="L37" i="30"/>
  <c r="L53" i="30"/>
  <c r="L69" i="30"/>
  <c r="L12" i="30"/>
  <c r="L22" i="30"/>
  <c r="L38" i="30"/>
  <c r="L54" i="30"/>
  <c r="L70" i="30"/>
  <c r="L62" i="30"/>
  <c r="L23" i="30"/>
  <c r="L39" i="30"/>
  <c r="L55" i="30"/>
  <c r="L71" i="30"/>
  <c r="L44" i="30"/>
  <c r="L24" i="30"/>
  <c r="L40" i="30"/>
  <c r="L56" i="30"/>
  <c r="L72" i="30"/>
  <c r="L76" i="30"/>
  <c r="L32" i="30"/>
  <c r="L25" i="30"/>
  <c r="L41" i="30"/>
  <c r="L57" i="30"/>
  <c r="L73" i="30"/>
  <c r="L28" i="30"/>
  <c r="L26" i="30"/>
  <c r="L42" i="30"/>
  <c r="L58" i="30"/>
  <c r="L74" i="30"/>
  <c r="L60" i="30"/>
  <c r="L27" i="30"/>
  <c r="L43" i="30"/>
  <c r="L59" i="30"/>
  <c r="L75" i="30"/>
  <c r="L46" i="30"/>
  <c r="L16" i="30"/>
  <c r="L13" i="30"/>
  <c r="L29" i="30"/>
  <c r="L45" i="30"/>
  <c r="L61" i="30"/>
  <c r="L14" i="30"/>
  <c r="L30" i="30"/>
  <c r="L64" i="30"/>
  <c r="L15" i="30"/>
  <c r="L31" i="30"/>
  <c r="L47" i="30"/>
  <c r="L63" i="30"/>
  <c r="M49" i="30"/>
  <c r="M17" i="30"/>
  <c r="M25" i="30"/>
  <c r="M33" i="30"/>
  <c r="M41" i="30"/>
  <c r="M53" i="30"/>
  <c r="M61" i="30"/>
  <c r="M69" i="30"/>
  <c r="M35" i="30"/>
  <c r="M55" i="30"/>
  <c r="M71" i="30"/>
  <c r="M22" i="30"/>
  <c r="M30" i="30"/>
  <c r="M46" i="30"/>
  <c r="M74" i="30"/>
  <c r="M18" i="30"/>
  <c r="M34" i="30"/>
  <c r="M62" i="30"/>
  <c r="M51" i="30"/>
  <c r="M19" i="30"/>
  <c r="M27" i="30"/>
  <c r="M43" i="30"/>
  <c r="M63" i="30"/>
  <c r="M50" i="30"/>
  <c r="M26" i="30"/>
  <c r="M42" i="30"/>
  <c r="M54" i="30"/>
  <c r="M70" i="30"/>
  <c r="M12" i="30"/>
  <c r="M52" i="30"/>
  <c r="M20" i="30"/>
  <c r="M28" i="30"/>
  <c r="M36" i="30"/>
  <c r="M44" i="30"/>
  <c r="M56" i="30"/>
  <c r="M64" i="30"/>
  <c r="M72" i="30"/>
  <c r="M13" i="30"/>
  <c r="M21" i="30"/>
  <c r="M29" i="30"/>
  <c r="M37" i="30"/>
  <c r="M45" i="30"/>
  <c r="M57" i="30"/>
  <c r="M65" i="30"/>
  <c r="M73" i="30"/>
  <c r="M58" i="30"/>
  <c r="M14" i="30"/>
  <c r="M38" i="30"/>
  <c r="M66" i="30"/>
  <c r="M15" i="30"/>
  <c r="M23" i="30"/>
  <c r="M31" i="30"/>
  <c r="M39" i="30"/>
  <c r="M47" i="30"/>
  <c r="M59" i="30"/>
  <c r="M67" i="30"/>
  <c r="M75" i="30"/>
  <c r="M16" i="30"/>
  <c r="M24" i="30"/>
  <c r="M32" i="30"/>
  <c r="M40" i="30"/>
  <c r="M48" i="30"/>
  <c r="M68" i="30"/>
  <c r="M76" i="30"/>
  <c r="M60" i="30"/>
  <c r="E6" i="9"/>
  <c r="L79" i="30"/>
  <c r="L80" i="30"/>
  <c r="L81" i="30"/>
  <c r="L78" i="30"/>
  <c r="L82" i="30"/>
  <c r="L83" i="30"/>
  <c r="L84" i="30"/>
  <c r="L85" i="30"/>
  <c r="L86" i="30"/>
  <c r="L87" i="30"/>
  <c r="L88" i="30"/>
  <c r="L89" i="30"/>
  <c r="L90" i="30"/>
  <c r="L77" i="30"/>
  <c r="H79" i="9"/>
  <c r="R126" i="3"/>
  <c r="AJ23" i="20" s="1"/>
  <c r="G23" i="20"/>
  <c r="E23" i="20"/>
  <c r="X84" i="3"/>
  <c r="R84" i="3"/>
  <c r="BE85" i="3"/>
  <c r="BH80" i="3"/>
  <c r="C3" i="32"/>
  <c r="C6" i="32"/>
  <c r="C5" i="32"/>
  <c r="D3" i="32"/>
  <c r="D4" i="32"/>
  <c r="D5" i="32"/>
  <c r="M6" i="30" s="1"/>
  <c r="I63" i="9"/>
  <c r="I64" i="9"/>
  <c r="I43" i="9"/>
  <c r="I65" i="9"/>
  <c r="H56" i="10"/>
  <c r="G66" i="9"/>
  <c r="G64" i="9"/>
  <c r="I44" i="9"/>
  <c r="G61" i="9"/>
  <c r="G46" i="9"/>
  <c r="G62" i="9"/>
  <c r="I66" i="9"/>
  <c r="G45" i="9"/>
  <c r="G41" i="9"/>
  <c r="G65" i="9"/>
  <c r="G44" i="9"/>
  <c r="I42" i="9"/>
  <c r="G63" i="9"/>
  <c r="I41" i="9"/>
  <c r="I62" i="9"/>
  <c r="I61" i="9"/>
  <c r="I45" i="9"/>
  <c r="I58" i="10"/>
  <c r="H90" i="9"/>
  <c r="H89" i="9"/>
  <c r="H97" i="9"/>
  <c r="M8" i="6"/>
  <c r="N8" i="6" s="1"/>
  <c r="G21" i="39"/>
  <c r="G56" i="10"/>
  <c r="C4" i="32"/>
  <c r="AA82" i="3"/>
  <c r="AS79" i="3"/>
  <c r="O82" i="3"/>
  <c r="BE79" i="3"/>
  <c r="AY79" i="3"/>
  <c r="AS78" i="3"/>
  <c r="BK77" i="3"/>
  <c r="AV82" i="3"/>
  <c r="AG78" i="3"/>
  <c r="AD76" i="3"/>
  <c r="O80" i="3"/>
  <c r="X77" i="3"/>
  <c r="AM77" i="3"/>
  <c r="BK84" i="3"/>
  <c r="O83" i="3"/>
  <c r="AV77" i="3"/>
  <c r="BH77" i="3"/>
  <c r="BB85" i="3"/>
  <c r="BB79" i="3"/>
  <c r="BB83" i="3"/>
  <c r="BB81" i="3"/>
  <c r="BK82" i="3"/>
  <c r="BH82" i="3"/>
  <c r="U82" i="3"/>
  <c r="AP85" i="3"/>
  <c r="AJ85" i="3"/>
  <c r="AV83" i="3"/>
  <c r="BN78" i="3"/>
  <c r="AV79" i="3"/>
  <c r="BK76" i="3"/>
  <c r="L80" i="3"/>
  <c r="F120" i="3"/>
  <c r="AJ4" i="20"/>
  <c r="L81" i="3"/>
  <c r="H4" i="20"/>
  <c r="F124" i="3"/>
  <c r="F109" i="3"/>
  <c r="F94" i="3"/>
  <c r="X5" i="4"/>
  <c r="H7" i="4"/>
  <c r="F93" i="3"/>
  <c r="F106" i="3"/>
  <c r="F118" i="3"/>
  <c r="F123" i="3"/>
  <c r="E7" i="4"/>
  <c r="S7" i="6"/>
  <c r="T7" i="6" s="1"/>
  <c r="X13" i="4"/>
  <c r="X6" i="4"/>
  <c r="E5" i="4"/>
  <c r="D14" i="4"/>
  <c r="E4" i="4"/>
  <c r="S4" i="6"/>
  <c r="T4" i="6" s="1"/>
  <c r="H8" i="4"/>
  <c r="F122" i="3"/>
  <c r="R10" i="6"/>
  <c r="T10" i="6" s="1"/>
  <c r="X11" i="4"/>
  <c r="X7" i="4"/>
  <c r="F112" i="3"/>
  <c r="E6" i="4"/>
  <c r="E9" i="4"/>
  <c r="X12" i="4"/>
  <c r="E17" i="20"/>
  <c r="E16" i="20" s="1"/>
  <c r="F125" i="3"/>
  <c r="R6" i="6"/>
  <c r="U6" i="6" s="1"/>
  <c r="B6" i="2" s="1"/>
  <c r="AG4" i="20"/>
  <c r="F88" i="3"/>
  <c r="X9" i="4"/>
  <c r="E10" i="4"/>
  <c r="F119" i="3"/>
  <c r="E12" i="4"/>
  <c r="C14" i="4"/>
  <c r="V4" i="4"/>
  <c r="B4" i="2" s="1"/>
  <c r="P14" i="4"/>
  <c r="F14" i="4"/>
  <c r="BA8" i="20"/>
  <c r="F15" i="4"/>
  <c r="E10" i="10"/>
  <c r="G63" i="10"/>
  <c r="V22" i="37"/>
  <c r="T5" i="37"/>
  <c r="T6" i="37"/>
  <c r="H64" i="9"/>
  <c r="H42" i="9"/>
  <c r="H63" i="9"/>
  <c r="H44" i="9"/>
  <c r="H65" i="9"/>
  <c r="H46" i="9"/>
  <c r="I65" i="10"/>
  <c r="I62" i="10"/>
  <c r="I96" i="9"/>
  <c r="I93" i="9"/>
  <c r="I80" i="9"/>
  <c r="I63" i="10"/>
  <c r="I57" i="10"/>
  <c r="I56" i="10"/>
  <c r="I79" i="9"/>
  <c r="I64" i="10"/>
  <c r="I59" i="10"/>
  <c r="I89" i="9"/>
  <c r="I91" i="9"/>
  <c r="E11" i="10"/>
  <c r="I61" i="10"/>
  <c r="I60" i="10"/>
  <c r="I94" i="9"/>
  <c r="I81" i="9"/>
  <c r="I98" i="9"/>
  <c r="I95" i="9"/>
  <c r="I97" i="9"/>
  <c r="I92" i="9"/>
  <c r="I90" i="9"/>
  <c r="H41" i="9"/>
  <c r="H43" i="9"/>
  <c r="H45" i="9"/>
  <c r="H62" i="9"/>
  <c r="H61" i="9"/>
  <c r="H86" i="9"/>
  <c r="G73" i="28"/>
  <c r="H73" i="28" s="1"/>
  <c r="J73" i="28" s="1"/>
  <c r="AL11" i="20"/>
  <c r="Y11" i="20"/>
  <c r="G98" i="28"/>
  <c r="H98" i="28" s="1"/>
  <c r="J98" i="28" s="1"/>
  <c r="AT11" i="20"/>
  <c r="G88" i="28"/>
  <c r="H88" i="28" s="1"/>
  <c r="J88" i="28" s="1"/>
  <c r="G78" i="28"/>
  <c r="H78" i="28" s="1"/>
  <c r="J78" i="28" s="1"/>
  <c r="S12" i="20"/>
  <c r="G48" i="28"/>
  <c r="H48" i="28" s="1"/>
  <c r="J48" i="28" s="1"/>
  <c r="K12" i="20"/>
  <c r="AS7" i="20"/>
  <c r="S78" i="9"/>
  <c r="AU7" i="20"/>
  <c r="AM12" i="20"/>
  <c r="BA7" i="20"/>
  <c r="AZ7" i="20"/>
  <c r="J78" i="9"/>
  <c r="AY11" i="20"/>
  <c r="L55" i="10"/>
  <c r="J102" i="28"/>
  <c r="I102" i="28" s="1"/>
  <c r="G53" i="28"/>
  <c r="H53" i="28" s="1"/>
  <c r="J53" i="28" s="1"/>
  <c r="J87" i="28"/>
  <c r="I87" i="28" s="1"/>
  <c r="J17" i="28"/>
  <c r="I17" i="28" s="1"/>
  <c r="J72" i="28"/>
  <c r="I72" i="28" s="1"/>
  <c r="J42" i="28"/>
  <c r="I42" i="28" s="1"/>
  <c r="J37" i="28"/>
  <c r="I37" i="28" s="1"/>
  <c r="J107" i="28"/>
  <c r="I107" i="28" s="1"/>
  <c r="BA12" i="20"/>
  <c r="W7" i="20"/>
  <c r="AK11" i="20"/>
  <c r="J52" i="28"/>
  <c r="I52" i="28" s="1"/>
  <c r="J12" i="28"/>
  <c r="I12" i="28" s="1"/>
  <c r="AV11" i="20"/>
  <c r="J22" i="28"/>
  <c r="I22" i="28" s="1"/>
  <c r="G28" i="28"/>
  <c r="H28" i="28" s="1"/>
  <c r="J28" i="28" s="1"/>
  <c r="J77" i="28"/>
  <c r="I77" i="28" s="1"/>
  <c r="J47" i="28"/>
  <c r="I47" i="28" s="1"/>
  <c r="G63" i="28"/>
  <c r="H63" i="28" s="1"/>
  <c r="J63" i="28" s="1"/>
  <c r="G33" i="28"/>
  <c r="H33" i="28" s="1"/>
  <c r="J33" i="28" s="1"/>
  <c r="G43" i="28"/>
  <c r="H43" i="28" s="1"/>
  <c r="J43" i="28" s="1"/>
  <c r="G38" i="28"/>
  <c r="H38" i="28" s="1"/>
  <c r="J38" i="28" s="1"/>
  <c r="W78" i="9"/>
  <c r="S55" i="10"/>
  <c r="J62" i="28"/>
  <c r="I62" i="28" s="1"/>
  <c r="G23" i="28"/>
  <c r="H23" i="28" s="1"/>
  <c r="J23" i="28" s="1"/>
  <c r="U78" i="9"/>
  <c r="J67" i="28"/>
  <c r="I67" i="28" s="1"/>
  <c r="M55" i="10"/>
  <c r="N55" i="10"/>
  <c r="T7" i="20"/>
  <c r="AX7" i="20"/>
  <c r="Y78" i="9"/>
  <c r="R78" i="9"/>
  <c r="I11" i="20"/>
  <c r="J32" i="28"/>
  <c r="I32" i="28" s="1"/>
  <c r="J97" i="28"/>
  <c r="I97" i="28" s="1"/>
  <c r="J92" i="28"/>
  <c r="I92" i="28" s="1"/>
  <c r="G93" i="28"/>
  <c r="H93" i="28" s="1"/>
  <c r="J93" i="28" s="1"/>
  <c r="AS12" i="20"/>
  <c r="R7" i="20"/>
  <c r="S11" i="20"/>
  <c r="AU12" i="20"/>
  <c r="T11" i="20"/>
  <c r="Z55" i="10"/>
  <c r="AX11" i="20"/>
  <c r="BA11" i="20"/>
  <c r="X78" i="9"/>
  <c r="J82" i="28"/>
  <c r="I82" i="28" s="1"/>
  <c r="W11" i="20"/>
  <c r="G18" i="28"/>
  <c r="H18" i="28" s="1"/>
  <c r="J18" i="28" s="1"/>
  <c r="AO11" i="20"/>
  <c r="AQ7" i="20"/>
  <c r="K55" i="10"/>
  <c r="AK12" i="20"/>
  <c r="Z78" i="9"/>
  <c r="G13" i="28"/>
  <c r="H13" i="28" s="1"/>
  <c r="J13" i="28" s="1"/>
  <c r="G58" i="28"/>
  <c r="H58" i="28" s="1"/>
  <c r="J58" i="28" s="1"/>
  <c r="AK7" i="20"/>
  <c r="G8" i="28"/>
  <c r="H8" i="28" s="1"/>
  <c r="J8" i="28" s="1"/>
  <c r="J27" i="28"/>
  <c r="I27" i="28" s="1"/>
  <c r="AT7" i="20"/>
  <c r="G83" i="28"/>
  <c r="H83" i="28" s="1"/>
  <c r="J83" i="28" s="1"/>
  <c r="G68" i="28"/>
  <c r="H68" i="28" s="1"/>
  <c r="J68" i="28" s="1"/>
  <c r="R11" i="20"/>
  <c r="K11" i="20"/>
  <c r="Q11" i="20"/>
  <c r="Y7" i="20"/>
  <c r="J57" i="28"/>
  <c r="I57" i="28" s="1"/>
  <c r="G103" i="28"/>
  <c r="H103" i="28" s="1"/>
  <c r="J103" i="28" s="1"/>
  <c r="J7" i="28"/>
  <c r="I7" i="28" s="1"/>
  <c r="R55" i="10"/>
  <c r="X11" i="20"/>
  <c r="Y12" i="20"/>
  <c r="O11" i="20"/>
  <c r="AZ11" i="20"/>
  <c r="AY7" i="20"/>
  <c r="I12" i="20"/>
  <c r="AU11" i="20"/>
  <c r="AN12" i="20"/>
  <c r="Y55" i="10"/>
  <c r="V11" i="20"/>
  <c r="AS11" i="20"/>
  <c r="AO12" i="20"/>
  <c r="AP12" i="20"/>
  <c r="L12" i="20"/>
  <c r="J55" i="10"/>
  <c r="X7" i="20"/>
  <c r="T55" i="10"/>
  <c r="T78" i="9"/>
  <c r="AV7" i="20"/>
  <c r="V7" i="20"/>
  <c r="I7" i="20"/>
  <c r="Q55" i="10"/>
  <c r="T12" i="20"/>
  <c r="Q12" i="20"/>
  <c r="AP11" i="20"/>
  <c r="AR11" i="20"/>
  <c r="V12" i="20"/>
  <c r="L78" i="9"/>
  <c r="I14" i="4"/>
  <c r="N78" i="9"/>
  <c r="AV8" i="20"/>
  <c r="F116" i="3"/>
  <c r="E4" i="20"/>
  <c r="AV12" i="20"/>
  <c r="AO7" i="20"/>
  <c r="O55" i="10"/>
  <c r="P12" i="20"/>
  <c r="M7" i="20"/>
  <c r="M12" i="20"/>
  <c r="U55" i="10"/>
  <c r="O5" i="9"/>
  <c r="V78" i="9"/>
  <c r="U8" i="6"/>
  <c r="B8" i="2" s="1"/>
  <c r="AR7" i="20"/>
  <c r="P11" i="20"/>
  <c r="X8" i="20"/>
  <c r="J7" i="20"/>
  <c r="K78" i="9"/>
  <c r="O12" i="20"/>
  <c r="AQ12" i="20"/>
  <c r="S5" i="9"/>
  <c r="AL12" i="20"/>
  <c r="F91" i="3"/>
  <c r="E11" i="4"/>
  <c r="G18" i="39"/>
  <c r="D40" i="11"/>
  <c r="C40" i="11" s="1"/>
  <c r="M4" i="6"/>
  <c r="W55" i="10"/>
  <c r="AN11" i="20"/>
  <c r="V55" i="10"/>
  <c r="T11" i="37"/>
  <c r="G16" i="39"/>
  <c r="P78" i="9"/>
  <c r="AZ12" i="20"/>
  <c r="Q7" i="20"/>
  <c r="F92" i="3"/>
  <c r="O78" i="9"/>
  <c r="Q5" i="9"/>
  <c r="J12" i="20"/>
  <c r="T17" i="20"/>
  <c r="T16" i="20" s="1"/>
  <c r="H8" i="20"/>
  <c r="AT12" i="20"/>
  <c r="S7" i="20"/>
  <c r="D76" i="3"/>
  <c r="S4" i="4" s="1"/>
  <c r="Y4" i="4" s="1"/>
  <c r="E4" i="2" s="1"/>
  <c r="T4" i="20"/>
  <c r="L7" i="20"/>
  <c r="M78" i="9"/>
  <c r="H81" i="9"/>
  <c r="AM7" i="20"/>
  <c r="X4" i="10"/>
  <c r="Z4" i="10"/>
  <c r="X12" i="20"/>
  <c r="H61" i="10"/>
  <c r="E14" i="10"/>
  <c r="H57" i="10"/>
  <c r="N11" i="20"/>
  <c r="W12" i="20"/>
  <c r="H62" i="10"/>
  <c r="U7" i="20"/>
  <c r="U11" i="20"/>
  <c r="N12" i="20"/>
  <c r="J11" i="20"/>
  <c r="O7" i="20"/>
  <c r="U12" i="20"/>
  <c r="N7" i="20"/>
  <c r="X55" i="10"/>
  <c r="Y8" i="20"/>
  <c r="H65" i="10"/>
  <c r="H60" i="10"/>
  <c r="AY12" i="20"/>
  <c r="V8" i="20"/>
  <c r="AS17" i="20"/>
  <c r="AS16" i="20" s="1"/>
  <c r="X5" i="9"/>
  <c r="K36" i="9"/>
  <c r="AU6" i="20"/>
  <c r="J36" i="9"/>
  <c r="AK6" i="20"/>
  <c r="E53" i="29"/>
  <c r="G17" i="39"/>
  <c r="G15" i="39"/>
  <c r="AK10" i="20"/>
  <c r="I10" i="20"/>
  <c r="AU10" i="20"/>
  <c r="D28" i="37"/>
  <c r="N10" i="20"/>
  <c r="Q36" i="9"/>
  <c r="V4" i="37"/>
  <c r="V18" i="37"/>
  <c r="V25" i="37"/>
  <c r="V7" i="37"/>
  <c r="V21" i="37"/>
  <c r="V17" i="37"/>
  <c r="V27" i="37"/>
  <c r="V23" i="37"/>
  <c r="V26" i="37"/>
  <c r="V8" i="37"/>
  <c r="V13" i="37"/>
  <c r="V16" i="37"/>
  <c r="S10" i="20"/>
  <c r="Q6" i="20"/>
  <c r="AV10" i="20"/>
  <c r="W36" i="9"/>
  <c r="Z36" i="9"/>
  <c r="X99" i="9"/>
  <c r="AZ10" i="20"/>
  <c r="I6" i="20"/>
  <c r="S6" i="20"/>
  <c r="J99" i="9"/>
  <c r="AY10" i="20"/>
  <c r="X10" i="20"/>
  <c r="AR10" i="20"/>
  <c r="U10" i="20"/>
  <c r="Q10" i="20"/>
  <c r="R10" i="20"/>
  <c r="S36" i="9"/>
  <c r="U36" i="9"/>
  <c r="U99" i="9"/>
  <c r="W99" i="9"/>
  <c r="AX6" i="20"/>
  <c r="Z99" i="9"/>
  <c r="BA6" i="20"/>
  <c r="W6" i="20"/>
  <c r="X6" i="20"/>
  <c r="Y99" i="9"/>
  <c r="AS6" i="20"/>
  <c r="T10" i="20"/>
  <c r="W10" i="20"/>
  <c r="V6" i="20"/>
  <c r="T6" i="20"/>
  <c r="P10" i="20"/>
  <c r="AT10" i="20"/>
  <c r="R99" i="9"/>
  <c r="AV6" i="20"/>
  <c r="Y36" i="9"/>
  <c r="S99" i="9"/>
  <c r="AZ6" i="20"/>
  <c r="R6" i="20"/>
  <c r="V10" i="20"/>
  <c r="X36" i="9"/>
  <c r="Y6" i="20"/>
  <c r="BA10" i="20"/>
  <c r="AY6" i="20"/>
  <c r="AX10" i="20"/>
  <c r="Y10" i="20"/>
  <c r="K6" i="20"/>
  <c r="O99" i="9"/>
  <c r="V36" i="9"/>
  <c r="J10" i="20"/>
  <c r="K99" i="9"/>
  <c r="M36" i="9"/>
  <c r="O10" i="20"/>
  <c r="Q99" i="9"/>
  <c r="O36" i="9"/>
  <c r="AQ6" i="20"/>
  <c r="AO6" i="20"/>
  <c r="AR6" i="20"/>
  <c r="N36" i="9"/>
  <c r="AS10" i="20"/>
  <c r="AM6" i="20"/>
  <c r="M10" i="20"/>
  <c r="AO10" i="20"/>
  <c r="L6" i="20"/>
  <c r="P99" i="9"/>
  <c r="AT6" i="20"/>
  <c r="K10" i="20"/>
  <c r="AW10" i="20"/>
  <c r="V99" i="9"/>
  <c r="AN10" i="20"/>
  <c r="O6" i="20"/>
  <c r="P6" i="20"/>
  <c r="R36" i="9"/>
  <c r="M6" i="20"/>
  <c r="L99" i="9"/>
  <c r="AN6" i="20"/>
  <c r="M99" i="9"/>
  <c r="AP10" i="20"/>
  <c r="T99" i="9"/>
  <c r="AM10" i="20"/>
  <c r="T36" i="9"/>
  <c r="L10" i="20"/>
  <c r="L10" i="30"/>
  <c r="L11" i="30"/>
  <c r="L9" i="30"/>
  <c r="L4" i="30"/>
  <c r="L3" i="30"/>
  <c r="L5" i="30"/>
  <c r="G8" i="26"/>
  <c r="AJ8" i="20"/>
  <c r="E8" i="10"/>
  <c r="Q11" i="39"/>
  <c r="V11" i="39" s="1"/>
  <c r="T11" i="39"/>
  <c r="S11" i="39"/>
  <c r="O11" i="39"/>
  <c r="U11" i="39" s="1"/>
  <c r="E13" i="10"/>
  <c r="N5" i="30"/>
  <c r="N3" i="30"/>
  <c r="N4" i="30"/>
  <c r="D83" i="3"/>
  <c r="S11" i="4" s="1"/>
  <c r="Y11" i="4" s="1"/>
  <c r="Q21" i="39"/>
  <c r="V21" i="39" s="1"/>
  <c r="O21" i="39"/>
  <c r="U21" i="39" s="1"/>
  <c r="T21" i="39"/>
  <c r="S21" i="39"/>
  <c r="H9" i="4"/>
  <c r="R9" i="6"/>
  <c r="U9" i="6" s="1"/>
  <c r="P55" i="10"/>
  <c r="AX12" i="20"/>
  <c r="H59" i="10"/>
  <c r="P5" i="9"/>
  <c r="E23" i="10"/>
  <c r="Q20" i="39"/>
  <c r="V20" i="39" s="1"/>
  <c r="T20" i="39"/>
  <c r="O20" i="39"/>
  <c r="U20" i="39" s="1"/>
  <c r="S20" i="39"/>
  <c r="U5" i="9"/>
  <c r="F108" i="3"/>
  <c r="S6" i="6"/>
  <c r="I4" i="10"/>
  <c r="L5" i="9"/>
  <c r="E9" i="10"/>
  <c r="T5" i="9"/>
  <c r="Y4" i="10"/>
  <c r="M8" i="20"/>
  <c r="AO8" i="20"/>
  <c r="N4" i="10"/>
  <c r="F8" i="20"/>
  <c r="G4" i="10"/>
  <c r="P36" i="9"/>
  <c r="AQ10" i="20"/>
  <c r="AW11" i="20"/>
  <c r="AL7" i="20"/>
  <c r="G64" i="10"/>
  <c r="H95" i="9"/>
  <c r="D16" i="37"/>
  <c r="AH8" i="20"/>
  <c r="E7" i="10"/>
  <c r="AZ8" i="20"/>
  <c r="F107" i="3"/>
  <c r="S5" i="6"/>
  <c r="T5" i="6" s="1"/>
  <c r="AP17" i="20"/>
  <c r="AP16" i="20" s="1"/>
  <c r="N17" i="20"/>
  <c r="N16" i="20" s="1"/>
  <c r="F87" i="3"/>
  <c r="H13" i="4"/>
  <c r="R13" i="6"/>
  <c r="U13" i="6" s="1"/>
  <c r="B13" i="2" s="1"/>
  <c r="H12" i="4"/>
  <c r="R12" i="6"/>
  <c r="U12" i="6" s="1"/>
  <c r="B12" i="2" s="1"/>
  <c r="G58" i="10"/>
  <c r="O14" i="39"/>
  <c r="U14" i="39" s="1"/>
  <c r="S14" i="39"/>
  <c r="T14" i="39"/>
  <c r="Q14" i="39"/>
  <c r="V14" i="39" s="1"/>
  <c r="AR8" i="20"/>
  <c r="P8" i="20"/>
  <c r="Q4" i="10"/>
  <c r="W8" i="20"/>
  <c r="U4" i="10"/>
  <c r="E6" i="10"/>
  <c r="N4" i="20"/>
  <c r="AP4" i="20"/>
  <c r="V15" i="37"/>
  <c r="F89" i="3"/>
  <c r="N6" i="20"/>
  <c r="AY8" i="20"/>
  <c r="AG8" i="20"/>
  <c r="E8" i="20"/>
  <c r="F4" i="10"/>
  <c r="E5" i="10"/>
  <c r="D79" i="3"/>
  <c r="S7" i="4" s="1"/>
  <c r="Y7" i="4" s="1"/>
  <c r="D77" i="3"/>
  <c r="S5" i="4" s="1"/>
  <c r="Y5" i="4" s="1"/>
  <c r="E5" i="2" s="1"/>
  <c r="H11" i="4"/>
  <c r="R11" i="6"/>
  <c r="U11" i="6" s="1"/>
  <c r="J4" i="10"/>
  <c r="AK8" i="20"/>
  <c r="I8" i="20"/>
  <c r="V5" i="9"/>
  <c r="L300" i="30"/>
  <c r="L6" i="30"/>
  <c r="L7" i="30"/>
  <c r="L8" i="30"/>
  <c r="E24" i="10"/>
  <c r="F90" i="3"/>
  <c r="AU8" i="20"/>
  <c r="T4" i="10"/>
  <c r="S8" i="20"/>
  <c r="D84" i="3"/>
  <c r="S12" i="4" s="1"/>
  <c r="Y12" i="4" s="1"/>
  <c r="Y5" i="9"/>
  <c r="W17" i="20"/>
  <c r="W16" i="20" s="1"/>
  <c r="E22" i="10"/>
  <c r="D85" i="3"/>
  <c r="S13" i="4" s="1"/>
  <c r="Y13" i="4" s="1"/>
  <c r="J6" i="20"/>
  <c r="AP7" i="20"/>
  <c r="AW7" i="20"/>
  <c r="G61" i="10"/>
  <c r="W4" i="10"/>
  <c r="E21" i="10"/>
  <c r="L4" i="10"/>
  <c r="AM8" i="20"/>
  <c r="K8" i="20"/>
  <c r="E8" i="4"/>
  <c r="W8" i="4"/>
  <c r="X8" i="4" s="1"/>
  <c r="M2" i="29"/>
  <c r="E41" i="29"/>
  <c r="V9" i="37"/>
  <c r="I5" i="9"/>
  <c r="F113" i="3"/>
  <c r="AP6" i="20"/>
  <c r="G60" i="10"/>
  <c r="M11" i="20"/>
  <c r="AI8" i="20"/>
  <c r="K5" i="9"/>
  <c r="AX8" i="20"/>
  <c r="E20" i="10"/>
  <c r="S8" i="6"/>
  <c r="T8" i="6" s="1"/>
  <c r="F110" i="3"/>
  <c r="AG17" i="20"/>
  <c r="W5" i="9"/>
  <c r="E7" i="9"/>
  <c r="E7" i="11" s="1"/>
  <c r="E36" i="11" s="1"/>
  <c r="V14" i="37"/>
  <c r="AW8" i="20"/>
  <c r="V4" i="10"/>
  <c r="U8" i="20"/>
  <c r="N99" i="9"/>
  <c r="AQ11" i="20"/>
  <c r="H93" i="9"/>
  <c r="H85" i="9"/>
  <c r="G8" i="20"/>
  <c r="S8" i="39"/>
  <c r="Q8" i="39"/>
  <c r="V8" i="39" s="1"/>
  <c r="O8" i="39"/>
  <c r="U8" i="39" s="1"/>
  <c r="T8" i="39"/>
  <c r="R5" i="9"/>
  <c r="E18" i="10"/>
  <c r="K17" i="20"/>
  <c r="K16" i="20" s="1"/>
  <c r="AM17" i="20"/>
  <c r="AM16" i="20" s="1"/>
  <c r="V19" i="37"/>
  <c r="M5" i="30"/>
  <c r="M3" i="30"/>
  <c r="M4" i="30"/>
  <c r="AL10" i="20"/>
  <c r="U6" i="20"/>
  <c r="AN7" i="20"/>
  <c r="G14" i="4"/>
  <c r="H96" i="9"/>
  <c r="G65" i="10"/>
  <c r="H92" i="9"/>
  <c r="H91" i="9"/>
  <c r="AL6" i="20"/>
  <c r="AW12" i="20"/>
  <c r="Q78" i="9"/>
  <c r="AP8" i="20"/>
  <c r="N8" i="20"/>
  <c r="O4" i="10"/>
  <c r="R4" i="10"/>
  <c r="AS8" i="20"/>
  <c r="Q8" i="20"/>
  <c r="E17" i="10"/>
  <c r="AL8" i="20"/>
  <c r="K4" i="10"/>
  <c r="J8" i="20"/>
  <c r="K4" i="20"/>
  <c r="AM4" i="20"/>
  <c r="H17" i="20"/>
  <c r="H16" i="20" s="1"/>
  <c r="AJ17" i="20"/>
  <c r="AJ16" i="20" s="1"/>
  <c r="S12" i="6"/>
  <c r="F114" i="3"/>
  <c r="V24" i="37"/>
  <c r="V6" i="37"/>
  <c r="M300" i="30"/>
  <c r="M7" i="30"/>
  <c r="M8" i="30"/>
  <c r="G62" i="10"/>
  <c r="H82" i="9"/>
  <c r="T20" i="37"/>
  <c r="AM11" i="20"/>
  <c r="P7" i="20"/>
  <c r="AR12" i="20"/>
  <c r="H83" i="9"/>
  <c r="H88" i="9"/>
  <c r="H58" i="10"/>
  <c r="F86" i="3"/>
  <c r="F117" i="3"/>
  <c r="AV17" i="20"/>
  <c r="AV16" i="20" s="1"/>
  <c r="V11" i="37"/>
  <c r="Z5" i="9"/>
  <c r="M11" i="30"/>
  <c r="M9" i="30"/>
  <c r="M10" i="30"/>
  <c r="L11" i="20"/>
  <c r="G59" i="10"/>
  <c r="K7" i="20"/>
  <c r="H98" i="9"/>
  <c r="R12" i="20"/>
  <c r="H87" i="9"/>
  <c r="H94" i="9"/>
  <c r="H63" i="10"/>
  <c r="M5" i="9"/>
  <c r="H4" i="10"/>
  <c r="L36" i="9"/>
  <c r="E16" i="10"/>
  <c r="E13" i="4"/>
  <c r="U7" i="6"/>
  <c r="H84" i="9"/>
  <c r="H64" i="10"/>
  <c r="AT8" i="20"/>
  <c r="R8" i="20"/>
  <c r="S4" i="10"/>
  <c r="E19" i="10"/>
  <c r="AN8" i="20"/>
  <c r="L8" i="20"/>
  <c r="M4" i="10"/>
  <c r="F111" i="3"/>
  <c r="S9" i="6"/>
  <c r="Q4" i="20"/>
  <c r="AS4" i="20"/>
  <c r="D80" i="3"/>
  <c r="S8" i="4" s="1"/>
  <c r="Y8" i="4" s="1"/>
  <c r="D78" i="3"/>
  <c r="S6" i="4" s="1"/>
  <c r="Y6" i="4" s="1"/>
  <c r="F95" i="3"/>
  <c r="V10" i="37"/>
  <c r="H5" i="9"/>
  <c r="J5" i="9"/>
  <c r="AW6" i="20"/>
  <c r="H80" i="9"/>
  <c r="E12" i="10"/>
  <c r="N10" i="30"/>
  <c r="N11" i="30"/>
  <c r="N9" i="30"/>
  <c r="D81" i="3"/>
  <c r="S9" i="4" s="1"/>
  <c r="Y9" i="4" s="1"/>
  <c r="V12" i="37"/>
  <c r="V5" i="37"/>
  <c r="G57" i="10"/>
  <c r="N5" i="9"/>
  <c r="T8" i="20"/>
  <c r="AQ8" i="20"/>
  <c r="P4" i="10"/>
  <c r="O8" i="20"/>
  <c r="E15" i="10"/>
  <c r="N300" i="30"/>
  <c r="N8" i="30"/>
  <c r="N6" i="30"/>
  <c r="N7" i="30"/>
  <c r="D82" i="3"/>
  <c r="S10" i="4" s="1"/>
  <c r="F121" i="3"/>
  <c r="F115" i="3"/>
  <c r="I15" i="4"/>
  <c r="G15" i="4"/>
  <c r="I14" i="6"/>
  <c r="B5" i="2"/>
  <c r="C28" i="11"/>
  <c r="D25" i="14"/>
  <c r="J14" i="11"/>
  <c r="P10" i="6" s="1"/>
  <c r="Q10" i="6" s="1"/>
  <c r="K14" i="11"/>
  <c r="P11" i="6" s="1"/>
  <c r="Q11" i="6" s="1"/>
  <c r="L14" i="11"/>
  <c r="L43" i="11" s="1"/>
  <c r="D32" i="14"/>
  <c r="D102" i="14"/>
  <c r="BK129" i="3"/>
  <c r="D67" i="14"/>
  <c r="BN126" i="3"/>
  <c r="D28" i="14"/>
  <c r="F14" i="6"/>
  <c r="D26" i="14"/>
  <c r="D135" i="14"/>
  <c r="D59" i="14"/>
  <c r="D61" i="14"/>
  <c r="D64" i="14"/>
  <c r="BQ127" i="3"/>
  <c r="BQ126" i="3"/>
  <c r="BK130" i="3"/>
  <c r="D30" i="14"/>
  <c r="BQ128" i="3"/>
  <c r="D101" i="14"/>
  <c r="BN130" i="3"/>
  <c r="AW23" i="20"/>
  <c r="M23" i="20"/>
  <c r="BN127" i="3"/>
  <c r="D33" i="14"/>
  <c r="BQ135" i="3"/>
  <c r="Q23" i="20"/>
  <c r="AK23" i="20"/>
  <c r="T23" i="20"/>
  <c r="I23" i="20"/>
  <c r="BN132" i="3"/>
  <c r="L23" i="20"/>
  <c r="BQ133" i="3"/>
  <c r="D137" i="14"/>
  <c r="D60" i="14"/>
  <c r="AS23" i="20"/>
  <c r="P23" i="20"/>
  <c r="O23" i="20"/>
  <c r="AT23" i="20"/>
  <c r="AO23" i="20"/>
  <c r="AQ23" i="20"/>
  <c r="BN135" i="3"/>
  <c r="D31" i="14"/>
  <c r="V23" i="20"/>
  <c r="N23" i="20"/>
  <c r="AI23" i="20"/>
  <c r="J23" i="20"/>
  <c r="AV23" i="20"/>
  <c r="AU23" i="20"/>
  <c r="U23" i="20"/>
  <c r="AR23" i="20"/>
  <c r="K23" i="20"/>
  <c r="S23" i="20"/>
  <c r="AL23" i="20"/>
  <c r="AN23" i="20"/>
  <c r="AM23" i="20"/>
  <c r="I131" i="3"/>
  <c r="BK135" i="3"/>
  <c r="D66" i="14"/>
  <c r="R23" i="20"/>
  <c r="AX23" i="20"/>
  <c r="D24" i="14"/>
  <c r="AP23" i="20"/>
  <c r="BQ129" i="3"/>
  <c r="BK132" i="3"/>
  <c r="BN131" i="3"/>
  <c r="D99" i="14"/>
  <c r="BQ130" i="3"/>
  <c r="BN129" i="3"/>
  <c r="E127" i="3"/>
  <c r="Q5" i="4" s="1"/>
  <c r="R5" i="4" s="1"/>
  <c r="BN128" i="3"/>
  <c r="D27" i="14"/>
  <c r="D134" i="14"/>
  <c r="BJ79" i="3"/>
  <c r="BK79" i="3" s="1"/>
  <c r="AJ66" i="3"/>
  <c r="AI96" i="3" s="1"/>
  <c r="AJ96" i="3" s="1"/>
  <c r="BM80" i="3"/>
  <c r="BN80" i="3" s="1"/>
  <c r="BB69" i="3"/>
  <c r="BA99" i="3" s="1"/>
  <c r="AR80" i="3"/>
  <c r="AS80" i="3" s="1"/>
  <c r="AA72" i="3"/>
  <c r="Z102" i="3" s="1"/>
  <c r="AA102" i="3" s="1"/>
  <c r="T84" i="3"/>
  <c r="U84" i="3" s="1"/>
  <c r="N81" i="3"/>
  <c r="O81" i="3" s="1"/>
  <c r="BG83" i="3"/>
  <c r="BH83" i="3" s="1"/>
  <c r="O70" i="3"/>
  <c r="N100" i="3" s="1"/>
  <c r="O100" i="3" s="1"/>
  <c r="BG85" i="3"/>
  <c r="BH85" i="3" s="1"/>
  <c r="BP84" i="3"/>
  <c r="BQ84" i="3" s="1"/>
  <c r="Q76" i="3"/>
  <c r="R76" i="3" s="1"/>
  <c r="BP83" i="3"/>
  <c r="BQ83" i="3" s="1"/>
  <c r="BE69" i="3"/>
  <c r="BD99" i="3" s="1"/>
  <c r="BE99" i="3" s="1"/>
  <c r="BM82" i="3"/>
  <c r="BN82" i="3" s="1"/>
  <c r="BG84" i="3"/>
  <c r="BH84" i="3" s="1"/>
  <c r="AC80" i="3"/>
  <c r="AD80" i="3" s="1"/>
  <c r="AA71" i="3"/>
  <c r="Z101" i="3" s="1"/>
  <c r="AA101" i="3" s="1"/>
  <c r="AL81" i="3"/>
  <c r="AM81" i="3" s="1"/>
  <c r="AU81" i="3"/>
  <c r="AV81" i="3" s="1"/>
  <c r="AO79" i="3"/>
  <c r="AP79" i="3" s="1"/>
  <c r="AV67" i="3"/>
  <c r="AU97" i="3" s="1"/>
  <c r="AV97" i="3" s="1"/>
  <c r="W85" i="3"/>
  <c r="X85" i="3" s="1"/>
  <c r="AV73" i="3"/>
  <c r="AU103" i="3" s="1"/>
  <c r="AV103" i="3" s="1"/>
  <c r="U68" i="3"/>
  <c r="T98" i="3" s="1"/>
  <c r="U98" i="3" s="1"/>
  <c r="AY69" i="3"/>
  <c r="AX99" i="3" s="1"/>
  <c r="AY99" i="3" s="1"/>
  <c r="Q77" i="3"/>
  <c r="R77" i="3" s="1"/>
  <c r="T77" i="3"/>
  <c r="U77" i="3" s="1"/>
  <c r="H78" i="3"/>
  <c r="I78" i="3" s="1"/>
  <c r="AX81" i="3"/>
  <c r="AY81" i="3" s="1"/>
  <c r="AL78" i="3"/>
  <c r="AM78" i="3" s="1"/>
  <c r="AG66" i="3"/>
  <c r="AF96" i="3" s="1"/>
  <c r="AG96" i="3" s="1"/>
  <c r="BP85" i="3"/>
  <c r="BQ85" i="3" s="1"/>
  <c r="BA82" i="3"/>
  <c r="BB82" i="3" s="1"/>
  <c r="Q80" i="3"/>
  <c r="R80" i="3" s="1"/>
  <c r="BK72" i="3"/>
  <c r="BJ102" i="3" s="1"/>
  <c r="BK102" i="3" s="1"/>
  <c r="AM67" i="3"/>
  <c r="AL97" i="3" s="1"/>
  <c r="AM97" i="3" s="1"/>
  <c r="AD67" i="3"/>
  <c r="AC97" i="3" s="1"/>
  <c r="AD97" i="3" s="1"/>
  <c r="U66" i="3"/>
  <c r="T96" i="3" s="1"/>
  <c r="U96" i="3" s="1"/>
  <c r="BJ80" i="3"/>
  <c r="BK80" i="3" s="1"/>
  <c r="AL82" i="3"/>
  <c r="AM82" i="3" s="1"/>
  <c r="BM79" i="3"/>
  <c r="BN79" i="3" s="1"/>
  <c r="H82" i="3"/>
  <c r="I82" i="3" s="1"/>
  <c r="AU84" i="3"/>
  <c r="AV84" i="3" s="1"/>
  <c r="BE72" i="3"/>
  <c r="BD102" i="3" s="1"/>
  <c r="BE102" i="3" s="1"/>
  <c r="AI77" i="3"/>
  <c r="AJ77" i="3" s="1"/>
  <c r="N77" i="3"/>
  <c r="O77" i="3" s="1"/>
  <c r="AI81" i="3"/>
  <c r="AJ81" i="3" s="1"/>
  <c r="BK66" i="3"/>
  <c r="BJ96" i="3" s="1"/>
  <c r="BK96" i="3" s="1"/>
  <c r="BD80" i="3"/>
  <c r="BE80" i="3" s="1"/>
  <c r="AS68" i="3"/>
  <c r="AR98" i="3" s="1"/>
  <c r="AS98" i="3" s="1"/>
  <c r="AX85" i="3"/>
  <c r="AY85" i="3" s="1"/>
  <c r="Q81" i="3"/>
  <c r="R81" i="3" s="1"/>
  <c r="AC82" i="3"/>
  <c r="AD82" i="3" s="1"/>
  <c r="AX83" i="3"/>
  <c r="AY83" i="3" s="1"/>
  <c r="AV72" i="3"/>
  <c r="AU102" i="3" s="1"/>
  <c r="AV102" i="3" s="1"/>
  <c r="Z79" i="3"/>
  <c r="AA79" i="3" s="1"/>
  <c r="AI78" i="3"/>
  <c r="AJ78" i="3" s="1"/>
  <c r="BD84" i="3"/>
  <c r="BE84" i="3" s="1"/>
  <c r="H80" i="3"/>
  <c r="I80" i="3" s="1"/>
  <c r="BH70" i="3"/>
  <c r="BG100" i="3" s="1"/>
  <c r="BH100" i="3" s="1"/>
  <c r="AO78" i="3"/>
  <c r="AP78" i="3" s="1"/>
  <c r="Z77" i="3"/>
  <c r="AA77" i="3" s="1"/>
  <c r="AI82" i="3"/>
  <c r="AJ82" i="3" s="1"/>
  <c r="AI83" i="3"/>
  <c r="AJ83" i="3" s="1"/>
  <c r="BM84" i="3"/>
  <c r="BN84" i="3" s="1"/>
  <c r="AX76" i="3"/>
  <c r="AY76" i="3" s="1"/>
  <c r="AR82" i="3"/>
  <c r="AS82" i="3" s="1"/>
  <c r="U72" i="3"/>
  <c r="T102" i="3" s="1"/>
  <c r="U102" i="3" s="1"/>
  <c r="AU78" i="3"/>
  <c r="AV78" i="3" s="1"/>
  <c r="N76" i="3"/>
  <c r="AC78" i="3"/>
  <c r="AD78" i="3" s="1"/>
  <c r="H83" i="3"/>
  <c r="I83" i="3" s="1"/>
  <c r="BJ81" i="3"/>
  <c r="BK81" i="3" s="1"/>
  <c r="AF84" i="3"/>
  <c r="AG84" i="3" s="1"/>
  <c r="AI80" i="3"/>
  <c r="AJ80" i="3" s="1"/>
  <c r="BP80" i="3"/>
  <c r="BQ80" i="3" s="1"/>
  <c r="BM81" i="3"/>
  <c r="BN81" i="3" s="1"/>
  <c r="E67" i="3"/>
  <c r="X74" i="3"/>
  <c r="W104" i="3" s="1"/>
  <c r="X104" i="3" s="1"/>
  <c r="Z85" i="3"/>
  <c r="AA85" i="3" s="1"/>
  <c r="AL85" i="3"/>
  <c r="AM85" i="3" s="1"/>
  <c r="BJ78" i="3"/>
  <c r="BK78" i="3" s="1"/>
  <c r="AU85" i="3"/>
  <c r="AV85" i="3" s="1"/>
  <c r="AF83" i="3"/>
  <c r="AG83" i="3" s="1"/>
  <c r="BH72" i="3"/>
  <c r="BG102" i="3" s="1"/>
  <c r="BH102" i="3" s="1"/>
  <c r="X70" i="3"/>
  <c r="W100" i="3" s="1"/>
  <c r="X100" i="3" s="1"/>
  <c r="Z76" i="3"/>
  <c r="AA76" i="3" s="1"/>
  <c r="W82" i="3"/>
  <c r="X82" i="3" s="1"/>
  <c r="AF81" i="3"/>
  <c r="AG81" i="3" s="1"/>
  <c r="AX80" i="3"/>
  <c r="AY80" i="3" s="1"/>
  <c r="D4" i="37"/>
  <c r="M14" i="11"/>
  <c r="M43" i="11" s="1"/>
  <c r="W79" i="3"/>
  <c r="X79" i="3" s="1"/>
  <c r="AF82" i="3"/>
  <c r="AG82" i="3" s="1"/>
  <c r="AR85" i="3"/>
  <c r="AS85" i="3" s="1"/>
  <c r="BK74" i="3"/>
  <c r="BJ104" i="3" s="1"/>
  <c r="BK104" i="3" s="1"/>
  <c r="T79" i="3"/>
  <c r="U79" i="3" s="1"/>
  <c r="W78" i="3"/>
  <c r="X78" i="3" s="1"/>
  <c r="AJ75" i="3"/>
  <c r="AI105" i="3" s="1"/>
  <c r="AJ105" i="3" s="1"/>
  <c r="BP76" i="3"/>
  <c r="BQ76" i="3" s="1"/>
  <c r="AI79" i="3"/>
  <c r="AJ79" i="3" s="1"/>
  <c r="AP75" i="3"/>
  <c r="AO105" i="3" s="1"/>
  <c r="AP105" i="3" s="1"/>
  <c r="BE75" i="3"/>
  <c r="BD105" i="3" s="1"/>
  <c r="BE105" i="3" s="1"/>
  <c r="AO84" i="3"/>
  <c r="AP84" i="3" s="1"/>
  <c r="Z83" i="3"/>
  <c r="AA83" i="3" s="1"/>
  <c r="N79" i="3"/>
  <c r="O79" i="3" s="1"/>
  <c r="AY72" i="3"/>
  <c r="AX102" i="3" s="1"/>
  <c r="AY102" i="3" s="1"/>
  <c r="AO82" i="3"/>
  <c r="AP82" i="3" s="1"/>
  <c r="BG79" i="3"/>
  <c r="BH79" i="3" s="1"/>
  <c r="AU80" i="3"/>
  <c r="AV80" i="3" s="1"/>
  <c r="Q82" i="3"/>
  <c r="R82" i="3" s="1"/>
  <c r="BK67" i="3"/>
  <c r="BJ97" i="3" s="1"/>
  <c r="BK97" i="3" s="1"/>
  <c r="Q85" i="3"/>
  <c r="R85" i="3" s="1"/>
  <c r="O73" i="3"/>
  <c r="N103" i="3" s="1"/>
  <c r="O103" i="3" s="1"/>
  <c r="Z84" i="3"/>
  <c r="AA84" i="3" s="1"/>
  <c r="T81" i="3"/>
  <c r="U81" i="3" s="1"/>
  <c r="BH67" i="3"/>
  <c r="BG97" i="3" s="1"/>
  <c r="BH97" i="3" s="1"/>
  <c r="BM77" i="3"/>
  <c r="BN77" i="3" s="1"/>
  <c r="E72" i="3"/>
  <c r="BG76" i="3"/>
  <c r="BH76" i="3" s="1"/>
  <c r="E69" i="3"/>
  <c r="Z80" i="3"/>
  <c r="AA80" i="3" s="1"/>
  <c r="AF85" i="3"/>
  <c r="AG85" i="3" s="1"/>
  <c r="BD83" i="3"/>
  <c r="BE83" i="3" s="1"/>
  <c r="AO77" i="3"/>
  <c r="AP77" i="3" s="1"/>
  <c r="W83" i="3"/>
  <c r="X83" i="3" s="1"/>
  <c r="AR76" i="3"/>
  <c r="AS76" i="3" s="1"/>
  <c r="G11" i="26"/>
  <c r="BB70" i="3"/>
  <c r="BA100" i="3" s="1"/>
  <c r="BB100" i="3" s="1"/>
  <c r="BD76" i="3"/>
  <c r="BE76" i="3" s="1"/>
  <c r="W81" i="3"/>
  <c r="X81" i="3" s="1"/>
  <c r="BN68" i="3"/>
  <c r="BM98" i="3" s="1"/>
  <c r="BN98" i="3" s="1"/>
  <c r="BP81" i="3"/>
  <c r="BQ81" i="3" s="1"/>
  <c r="AS71" i="3"/>
  <c r="AR101" i="3" s="1"/>
  <c r="AS101" i="3" s="1"/>
  <c r="AY74" i="3"/>
  <c r="AX104" i="3" s="1"/>
  <c r="AY104" i="3" s="1"/>
  <c r="BA78" i="3"/>
  <c r="BB78" i="3" s="1"/>
  <c r="BM85" i="3"/>
  <c r="BN85" i="3" s="1"/>
  <c r="AD66" i="3"/>
  <c r="AC96" i="3" s="1"/>
  <c r="AD96" i="3" s="1"/>
  <c r="BJ85" i="3"/>
  <c r="BK85" i="3" s="1"/>
  <c r="N85" i="3"/>
  <c r="O85" i="3" s="1"/>
  <c r="BM83" i="3"/>
  <c r="BN83" i="3" s="1"/>
  <c r="BA77" i="3"/>
  <c r="BB77" i="3" s="1"/>
  <c r="AD71" i="3"/>
  <c r="AC101" i="3" s="1"/>
  <c r="AD101" i="3" s="1"/>
  <c r="AC81" i="3"/>
  <c r="AD81" i="3" s="1"/>
  <c r="I71" i="3"/>
  <c r="H101" i="3" s="1"/>
  <c r="I101" i="3" s="1"/>
  <c r="H81" i="3"/>
  <c r="I81" i="3" s="1"/>
  <c r="AM69" i="3"/>
  <c r="AL99" i="3" s="1"/>
  <c r="AM99" i="3" s="1"/>
  <c r="AL79" i="3"/>
  <c r="AM79" i="3" s="1"/>
  <c r="BE68" i="3"/>
  <c r="BD98" i="3" s="1"/>
  <c r="BE98" i="3" s="1"/>
  <c r="BD78" i="3"/>
  <c r="BE78" i="3" s="1"/>
  <c r="BB75" i="3"/>
  <c r="BA105" i="3" s="1"/>
  <c r="BB105" i="3" s="1"/>
  <c r="T85" i="3"/>
  <c r="U85" i="3" s="1"/>
  <c r="BJ83" i="3"/>
  <c r="BK83" i="3" s="1"/>
  <c r="BP79" i="3"/>
  <c r="BQ79" i="3" s="1"/>
  <c r="BG78" i="3"/>
  <c r="BH78" i="3" s="1"/>
  <c r="AO83" i="3"/>
  <c r="AP83" i="3" s="1"/>
  <c r="BB73" i="3"/>
  <c r="BA103" i="3" s="1"/>
  <c r="BB103" i="3" s="1"/>
  <c r="AL80" i="3"/>
  <c r="AM80" i="3" s="1"/>
  <c r="AX78" i="3"/>
  <c r="AY78" i="3" s="1"/>
  <c r="BP78" i="3"/>
  <c r="BQ78" i="3" s="1"/>
  <c r="BE71" i="3"/>
  <c r="BD101" i="3" s="1"/>
  <c r="BE101" i="3" s="1"/>
  <c r="BD81" i="3"/>
  <c r="BE81" i="3" s="1"/>
  <c r="BQ72" i="3"/>
  <c r="BP102" i="3" s="1"/>
  <c r="BQ102" i="3" s="1"/>
  <c r="BA20" i="20" s="1"/>
  <c r="BP82" i="3"/>
  <c r="BQ82" i="3" s="1"/>
  <c r="O74" i="3"/>
  <c r="N104" i="3" s="1"/>
  <c r="O104" i="3" s="1"/>
  <c r="N84" i="3"/>
  <c r="O84" i="3" s="1"/>
  <c r="R68" i="3"/>
  <c r="Q98" i="3" s="1"/>
  <c r="R98" i="3" s="1"/>
  <c r="Q78" i="3"/>
  <c r="R78" i="3" s="1"/>
  <c r="O72" i="3"/>
  <c r="N102" i="3" s="1"/>
  <c r="O102" i="3" s="1"/>
  <c r="AO80" i="3"/>
  <c r="AP80" i="3" s="1"/>
  <c r="I67" i="3"/>
  <c r="H97" i="3" s="1"/>
  <c r="I97" i="3" s="1"/>
  <c r="H77" i="3"/>
  <c r="I77" i="3" s="1"/>
  <c r="AL76" i="3"/>
  <c r="AM76" i="3" s="1"/>
  <c r="AM66" i="3"/>
  <c r="AL96" i="3" s="1"/>
  <c r="AM96" i="3" s="1"/>
  <c r="U70" i="3"/>
  <c r="T100" i="3" s="1"/>
  <c r="U100" i="3" s="1"/>
  <c r="T80" i="3"/>
  <c r="U80" i="3" s="1"/>
  <c r="BE67" i="3"/>
  <c r="BD97" i="3" s="1"/>
  <c r="BE97" i="3" s="1"/>
  <c r="BD77" i="3"/>
  <c r="BE77" i="3" s="1"/>
  <c r="R74" i="3"/>
  <c r="Q104" i="3" s="1"/>
  <c r="R104" i="3" s="1"/>
  <c r="AS69" i="3"/>
  <c r="AR99" i="3" s="1"/>
  <c r="AS99" i="3" s="1"/>
  <c r="Q79" i="3"/>
  <c r="R79" i="3" s="1"/>
  <c r="AI84" i="3"/>
  <c r="AJ84" i="3" s="1"/>
  <c r="BP77" i="3"/>
  <c r="BQ77" i="3" s="1"/>
  <c r="H79" i="3"/>
  <c r="I79" i="3" s="1"/>
  <c r="AF79" i="3"/>
  <c r="AG79" i="3" s="1"/>
  <c r="BB71" i="3"/>
  <c r="BA101" i="3" s="1"/>
  <c r="BB101" i="3" s="1"/>
  <c r="AR77" i="3"/>
  <c r="AS77" i="3" s="1"/>
  <c r="W76" i="3"/>
  <c r="X76" i="3" s="1"/>
  <c r="AU76" i="3"/>
  <c r="AV76" i="3" s="1"/>
  <c r="AV69" i="3"/>
  <c r="AU99" i="3" s="1"/>
  <c r="AV99" i="3" s="1"/>
  <c r="O68" i="3"/>
  <c r="N98" i="3" s="1"/>
  <c r="O98" i="3" s="1"/>
  <c r="N78" i="3"/>
  <c r="O78" i="3" s="1"/>
  <c r="AO81" i="3"/>
  <c r="AP81" i="3" s="1"/>
  <c r="AP71" i="3"/>
  <c r="AO101" i="3" s="1"/>
  <c r="AP101" i="3" s="1"/>
  <c r="Z78" i="3"/>
  <c r="AA78" i="3" s="1"/>
  <c r="AA68" i="3"/>
  <c r="Z98" i="3" s="1"/>
  <c r="AA98" i="3" s="1"/>
  <c r="U73" i="3"/>
  <c r="T103" i="3" s="1"/>
  <c r="U103" i="3" s="1"/>
  <c r="T83" i="3"/>
  <c r="U83" i="3" s="1"/>
  <c r="AY67" i="3"/>
  <c r="AX97" i="3" s="1"/>
  <c r="AY97" i="3" s="1"/>
  <c r="AX77" i="3"/>
  <c r="AY77" i="3" s="1"/>
  <c r="I75" i="3"/>
  <c r="H105" i="3" s="1"/>
  <c r="I105" i="3" s="1"/>
  <c r="H85" i="3"/>
  <c r="I85" i="3" s="1"/>
  <c r="X67" i="3"/>
  <c r="W97" i="3" s="1"/>
  <c r="X97" i="3" s="1"/>
  <c r="BA84" i="3"/>
  <c r="BB84" i="3" s="1"/>
  <c r="H76" i="3"/>
  <c r="I76" i="3" s="1"/>
  <c r="AG68" i="3"/>
  <c r="AF98" i="3" s="1"/>
  <c r="AG98" i="3" s="1"/>
  <c r="AR84" i="3"/>
  <c r="AS84" i="3" s="1"/>
  <c r="Q83" i="3"/>
  <c r="R83" i="3" s="1"/>
  <c r="AG70" i="3"/>
  <c r="AF100" i="3" s="1"/>
  <c r="AG100" i="3" s="1"/>
  <c r="AF80" i="3"/>
  <c r="AG80" i="3" s="1"/>
  <c r="AD75" i="3"/>
  <c r="AC105" i="3" s="1"/>
  <c r="AD105" i="3" s="1"/>
  <c r="AC85" i="3"/>
  <c r="AD85" i="3" s="1"/>
  <c r="AO76" i="3"/>
  <c r="AP76" i="3" s="1"/>
  <c r="H84" i="3"/>
  <c r="I84" i="3" s="1"/>
  <c r="I74" i="3"/>
  <c r="H104" i="3" s="1"/>
  <c r="I104" i="3" s="1"/>
  <c r="BH71" i="3"/>
  <c r="BG101" i="3" s="1"/>
  <c r="BH101" i="3" s="1"/>
  <c r="BG81" i="3"/>
  <c r="BH81" i="3" s="1"/>
  <c r="AL83" i="3"/>
  <c r="AM83" i="3" s="1"/>
  <c r="AM73" i="3"/>
  <c r="AL103" i="3" s="1"/>
  <c r="AM103" i="3" s="1"/>
  <c r="BB66" i="3"/>
  <c r="BA96" i="3" s="1"/>
  <c r="BB96" i="3" s="1"/>
  <c r="BA76" i="3"/>
  <c r="BB76" i="3" s="1"/>
  <c r="AG67" i="3"/>
  <c r="AF97" i="3" s="1"/>
  <c r="AG97" i="3" s="1"/>
  <c r="AF77" i="3"/>
  <c r="AG77" i="3" s="1"/>
  <c r="AS73" i="3"/>
  <c r="AR103" i="3" s="1"/>
  <c r="AS103" i="3" s="1"/>
  <c r="AR83" i="3"/>
  <c r="AS83" i="3" s="1"/>
  <c r="AD69" i="3"/>
  <c r="AC99" i="3" s="1"/>
  <c r="AD99" i="3" s="1"/>
  <c r="AC79" i="3"/>
  <c r="AD79" i="3" s="1"/>
  <c r="AC83" i="3"/>
  <c r="AD83" i="3" s="1"/>
  <c r="AD74" i="3"/>
  <c r="AC104" i="3" s="1"/>
  <c r="AD104" i="3" s="1"/>
  <c r="AC84" i="3"/>
  <c r="AD84" i="3" s="1"/>
  <c r="BN66" i="3"/>
  <c r="BM96" i="3" s="1"/>
  <c r="BN96" i="3" s="1"/>
  <c r="BM76" i="3"/>
  <c r="BN76" i="3" s="1"/>
  <c r="AL84" i="3"/>
  <c r="AM84" i="3" s="1"/>
  <c r="AM74" i="3"/>
  <c r="AL104" i="3" s="1"/>
  <c r="AM104" i="3" s="1"/>
  <c r="G6" i="26"/>
  <c r="G10" i="26"/>
  <c r="K84" i="3"/>
  <c r="E74" i="3"/>
  <c r="K78" i="3"/>
  <c r="L78" i="3" s="1"/>
  <c r="E68" i="3"/>
  <c r="L85" i="3"/>
  <c r="L131" i="3"/>
  <c r="E131" i="3"/>
  <c r="Q9" i="4" s="1"/>
  <c r="R9" i="4" s="1"/>
  <c r="L133" i="3"/>
  <c r="E133" i="3"/>
  <c r="Q11" i="4" s="1"/>
  <c r="R11" i="4" s="1"/>
  <c r="L135" i="3"/>
  <c r="E135" i="3"/>
  <c r="Q13" i="4" s="1"/>
  <c r="R13" i="4" s="1"/>
  <c r="L130" i="3"/>
  <c r="E130" i="3"/>
  <c r="Q8" i="4" s="1"/>
  <c r="L134" i="3"/>
  <c r="F134" i="3" s="1"/>
  <c r="E134" i="3"/>
  <c r="Q12" i="4" s="1"/>
  <c r="R12" i="4" s="1"/>
  <c r="E128" i="3"/>
  <c r="Q6" i="4" s="1"/>
  <c r="R6" i="4" s="1"/>
  <c r="L128" i="3"/>
  <c r="L132" i="3"/>
  <c r="E132" i="3"/>
  <c r="Q10" i="4" s="1"/>
  <c r="R10" i="4" s="1"/>
  <c r="E129" i="3"/>
  <c r="Q7" i="4" s="1"/>
  <c r="R7" i="4" s="1"/>
  <c r="L129" i="3"/>
  <c r="L126" i="3"/>
  <c r="E126" i="3"/>
  <c r="Q4" i="4" s="1"/>
  <c r="L98" i="3"/>
  <c r="L73" i="3"/>
  <c r="E73" i="3"/>
  <c r="L75" i="3"/>
  <c r="E75" i="3"/>
  <c r="L69" i="3"/>
  <c r="K99" i="3" s="1"/>
  <c r="L99" i="3" s="1"/>
  <c r="K79" i="3"/>
  <c r="L79" i="3" s="1"/>
  <c r="L70" i="3"/>
  <c r="E70" i="3"/>
  <c r="K83" i="3"/>
  <c r="L71" i="3"/>
  <c r="E71" i="3"/>
  <c r="L72" i="3"/>
  <c r="K82" i="3"/>
  <c r="L82" i="3" s="1"/>
  <c r="L66" i="3"/>
  <c r="K76" i="3"/>
  <c r="E66" i="3"/>
  <c r="K97" i="3"/>
  <c r="L77" i="3"/>
  <c r="O3" i="30" l="1"/>
  <c r="M77" i="30"/>
  <c r="M85" i="30"/>
  <c r="M87" i="30"/>
  <c r="M90" i="30"/>
  <c r="M78" i="30"/>
  <c r="M79" i="30"/>
  <c r="M86" i="30"/>
  <c r="M80" i="30"/>
  <c r="M88" i="30"/>
  <c r="M81" i="30"/>
  <c r="M89" i="30"/>
  <c r="M82" i="30"/>
  <c r="M83" i="30"/>
  <c r="O83" i="30" s="1"/>
  <c r="P83" i="30" s="1"/>
  <c r="M84" i="30"/>
  <c r="N87" i="30"/>
  <c r="O87" i="30" s="1"/>
  <c r="P87" i="30" s="1"/>
  <c r="N82" i="30"/>
  <c r="N77" i="30"/>
  <c r="O77" i="30" s="1"/>
  <c r="P77" i="30" s="1"/>
  <c r="N81" i="30"/>
  <c r="N88" i="30"/>
  <c r="N83" i="30"/>
  <c r="N78" i="30"/>
  <c r="N89" i="30"/>
  <c r="N86" i="30"/>
  <c r="O86" i="30" s="1"/>
  <c r="P86" i="30" s="1"/>
  <c r="N84" i="30"/>
  <c r="N79" i="30"/>
  <c r="O79" i="30" s="1"/>
  <c r="P79" i="30" s="1"/>
  <c r="N90" i="30"/>
  <c r="O90" i="30" s="1"/>
  <c r="P90" i="30" s="1"/>
  <c r="N85" i="30"/>
  <c r="N80" i="30"/>
  <c r="O80" i="30" s="1"/>
  <c r="P80" i="30" s="1"/>
  <c r="N24" i="30"/>
  <c r="O24" i="30" s="1"/>
  <c r="P24" i="30" s="1"/>
  <c r="N40" i="30"/>
  <c r="O40" i="30" s="1"/>
  <c r="P40" i="30" s="1"/>
  <c r="N60" i="30"/>
  <c r="O60" i="30" s="1"/>
  <c r="P60" i="30" s="1"/>
  <c r="N76" i="30"/>
  <c r="O76" i="30" s="1"/>
  <c r="P76" i="30" s="1"/>
  <c r="N19" i="30"/>
  <c r="O19" i="30" s="1"/>
  <c r="P19" i="30" s="1"/>
  <c r="N35" i="30"/>
  <c r="O35" i="30" s="1"/>
  <c r="P35" i="30" s="1"/>
  <c r="N55" i="30"/>
  <c r="O55" i="30" s="1"/>
  <c r="P55" i="30" s="1"/>
  <c r="N71" i="30"/>
  <c r="O71" i="30" s="1"/>
  <c r="P71" i="30" s="1"/>
  <c r="N14" i="30"/>
  <c r="O14" i="30" s="1"/>
  <c r="P14" i="30" s="1"/>
  <c r="N30" i="30"/>
  <c r="O30" i="30" s="1"/>
  <c r="P30" i="30" s="1"/>
  <c r="N46" i="30"/>
  <c r="O46" i="30" s="1"/>
  <c r="P46" i="30" s="1"/>
  <c r="N66" i="30"/>
  <c r="O66" i="30" s="1"/>
  <c r="P66" i="30" s="1"/>
  <c r="N15" i="30"/>
  <c r="O15" i="30" s="1"/>
  <c r="P15" i="30" s="1"/>
  <c r="N31" i="30"/>
  <c r="O31" i="30" s="1"/>
  <c r="P31" i="30" s="1"/>
  <c r="N54" i="30"/>
  <c r="O54" i="30" s="1"/>
  <c r="P54" i="30" s="1"/>
  <c r="N49" i="30"/>
  <c r="O49" i="30" s="1"/>
  <c r="P49" i="30" s="1"/>
  <c r="N25" i="30"/>
  <c r="O25" i="30" s="1"/>
  <c r="P25" i="30" s="1"/>
  <c r="N41" i="30"/>
  <c r="O41" i="30" s="1"/>
  <c r="P41" i="30" s="1"/>
  <c r="N61" i="30"/>
  <c r="O61" i="30" s="1"/>
  <c r="P61" i="30" s="1"/>
  <c r="N47" i="30"/>
  <c r="O47" i="30" s="1"/>
  <c r="P47" i="30" s="1"/>
  <c r="N34" i="30"/>
  <c r="O34" i="30" s="1"/>
  <c r="P34" i="30" s="1"/>
  <c r="N13" i="30"/>
  <c r="O13" i="30" s="1"/>
  <c r="P13" i="30" s="1"/>
  <c r="N20" i="30"/>
  <c r="O20" i="30" s="1"/>
  <c r="P20" i="30" s="1"/>
  <c r="N36" i="30"/>
  <c r="O36" i="30" s="1"/>
  <c r="P36" i="30" s="1"/>
  <c r="N56" i="30"/>
  <c r="O56" i="30" s="1"/>
  <c r="P56" i="30" s="1"/>
  <c r="N72" i="30"/>
  <c r="O72" i="30" s="1"/>
  <c r="P72" i="30" s="1"/>
  <c r="N67" i="30"/>
  <c r="O67" i="30" s="1"/>
  <c r="P67" i="30" s="1"/>
  <c r="N45" i="30"/>
  <c r="O45" i="30" s="1"/>
  <c r="P45" i="30" s="1"/>
  <c r="N50" i="30"/>
  <c r="O50" i="30" s="1"/>
  <c r="P50" i="30" s="1"/>
  <c r="N26" i="30"/>
  <c r="O26" i="30" s="1"/>
  <c r="P26" i="30" s="1"/>
  <c r="N42" i="30"/>
  <c r="O42" i="30" s="1"/>
  <c r="P42" i="30" s="1"/>
  <c r="N62" i="30"/>
  <c r="O62" i="30" s="1"/>
  <c r="P62" i="30" s="1"/>
  <c r="N37" i="30"/>
  <c r="O37" i="30" s="1"/>
  <c r="P37" i="30" s="1"/>
  <c r="N57" i="30"/>
  <c r="O57" i="30" s="1"/>
  <c r="P57" i="30" s="1"/>
  <c r="N73" i="30"/>
  <c r="O73" i="30" s="1"/>
  <c r="P73" i="30" s="1"/>
  <c r="N12" i="30"/>
  <c r="O12" i="30" s="1"/>
  <c r="P12" i="30" s="1"/>
  <c r="N21" i="30"/>
  <c r="O21" i="30" s="1"/>
  <c r="P21" i="30" s="1"/>
  <c r="N16" i="30"/>
  <c r="O16" i="30" s="1"/>
  <c r="P16" i="30" s="1"/>
  <c r="N32" i="30"/>
  <c r="O32" i="30" s="1"/>
  <c r="P32" i="30" s="1"/>
  <c r="N48" i="30"/>
  <c r="O48" i="30" s="1"/>
  <c r="P48" i="30" s="1"/>
  <c r="N68" i="30"/>
  <c r="O68" i="30" s="1"/>
  <c r="P68" i="30" s="1"/>
  <c r="N43" i="30"/>
  <c r="O43" i="30" s="1"/>
  <c r="P43" i="30" s="1"/>
  <c r="N58" i="30"/>
  <c r="O58" i="30" s="1"/>
  <c r="P58" i="30" s="1"/>
  <c r="N74" i="30"/>
  <c r="O74" i="30" s="1"/>
  <c r="P74" i="30" s="1"/>
  <c r="N70" i="30"/>
  <c r="O70" i="30" s="1"/>
  <c r="P70" i="30" s="1"/>
  <c r="N51" i="30"/>
  <c r="O51" i="30" s="1"/>
  <c r="P51" i="30" s="1"/>
  <c r="N27" i="30"/>
  <c r="O27" i="30" s="1"/>
  <c r="P27" i="30" s="1"/>
  <c r="N63" i="30"/>
  <c r="O63" i="30" s="1"/>
  <c r="P63" i="30" s="1"/>
  <c r="N22" i="30"/>
  <c r="O22" i="30" s="1"/>
  <c r="P22" i="30" s="1"/>
  <c r="N38" i="30"/>
  <c r="O38" i="30" s="1"/>
  <c r="P38" i="30" s="1"/>
  <c r="N17" i="30"/>
  <c r="O17" i="30" s="1"/>
  <c r="P17" i="30" s="1"/>
  <c r="N33" i="30"/>
  <c r="O33" i="30" s="1"/>
  <c r="P33" i="30" s="1"/>
  <c r="N53" i="30"/>
  <c r="O53" i="30" s="1"/>
  <c r="P53" i="30" s="1"/>
  <c r="N69" i="30"/>
  <c r="O69" i="30" s="1"/>
  <c r="P69" i="30" s="1"/>
  <c r="N75" i="30"/>
  <c r="O75" i="30" s="1"/>
  <c r="P75" i="30" s="1"/>
  <c r="N18" i="30"/>
  <c r="O18" i="30" s="1"/>
  <c r="P18" i="30" s="1"/>
  <c r="N29" i="30"/>
  <c r="O29" i="30" s="1"/>
  <c r="P29" i="30" s="1"/>
  <c r="N65" i="30"/>
  <c r="O65" i="30" s="1"/>
  <c r="P65" i="30" s="1"/>
  <c r="N52" i="30"/>
  <c r="O52" i="30" s="1"/>
  <c r="P52" i="30" s="1"/>
  <c r="N28" i="30"/>
  <c r="O28" i="30" s="1"/>
  <c r="P28" i="30" s="1"/>
  <c r="N44" i="30"/>
  <c r="O44" i="30" s="1"/>
  <c r="P44" i="30" s="1"/>
  <c r="N64" i="30"/>
  <c r="O64" i="30" s="1"/>
  <c r="P64" i="30" s="1"/>
  <c r="N39" i="30"/>
  <c r="O39" i="30" s="1"/>
  <c r="P39" i="30" s="1"/>
  <c r="N23" i="30"/>
  <c r="O23" i="30" s="1"/>
  <c r="P23" i="30" s="1"/>
  <c r="N59" i="30"/>
  <c r="O59" i="30" s="1"/>
  <c r="P59" i="30" s="1"/>
  <c r="O85" i="30"/>
  <c r="P85" i="30" s="1"/>
  <c r="O84" i="30"/>
  <c r="P84" i="30" s="1"/>
  <c r="O78" i="30"/>
  <c r="P78" i="30" s="1"/>
  <c r="O81" i="30"/>
  <c r="P81" i="30" s="1"/>
  <c r="H23" i="20"/>
  <c r="O76" i="3"/>
  <c r="AI21" i="20" s="1"/>
  <c r="F21" i="20"/>
  <c r="E43" i="9"/>
  <c r="E64" i="9"/>
  <c r="E12" i="2"/>
  <c r="E66" i="9"/>
  <c r="G5" i="26"/>
  <c r="G14" i="26"/>
  <c r="G7" i="26"/>
  <c r="G13" i="26"/>
  <c r="G9" i="26"/>
  <c r="G12" i="26"/>
  <c r="E61" i="9"/>
  <c r="E62" i="9"/>
  <c r="E63" i="9"/>
  <c r="E46" i="9"/>
  <c r="E42" i="9"/>
  <c r="E65" i="9"/>
  <c r="E41" i="9"/>
  <c r="E44" i="9"/>
  <c r="E45" i="9"/>
  <c r="E56" i="10"/>
  <c r="D13" i="11" s="1"/>
  <c r="D42" i="11" s="1"/>
  <c r="E15" i="9"/>
  <c r="M7" i="11" s="1"/>
  <c r="M36" i="11" s="1"/>
  <c r="E8" i="9"/>
  <c r="F7" i="11" s="1"/>
  <c r="F36" i="11" s="1"/>
  <c r="E13" i="9"/>
  <c r="K7" i="11" s="1"/>
  <c r="K36" i="11" s="1"/>
  <c r="E11" i="9"/>
  <c r="I7" i="11" s="1"/>
  <c r="I36" i="11" s="1"/>
  <c r="E9" i="9"/>
  <c r="G7" i="11" s="1"/>
  <c r="G36" i="11" s="1"/>
  <c r="I12" i="11"/>
  <c r="I41" i="11" s="1"/>
  <c r="J12" i="11"/>
  <c r="J41" i="11" s="1"/>
  <c r="U10" i="6"/>
  <c r="B10" i="2" s="1"/>
  <c r="S14" i="6"/>
  <c r="W14" i="4"/>
  <c r="T6" i="6"/>
  <c r="E6" i="2"/>
  <c r="E8" i="2"/>
  <c r="E14" i="4"/>
  <c r="S14" i="4"/>
  <c r="T11" i="6"/>
  <c r="D4" i="20"/>
  <c r="X4" i="4"/>
  <c r="X15" i="4" s="1"/>
  <c r="V14" i="4"/>
  <c r="E7" i="2"/>
  <c r="E13" i="2"/>
  <c r="S4" i="9"/>
  <c r="J77" i="9"/>
  <c r="K4" i="9"/>
  <c r="Y4" i="9"/>
  <c r="Q4" i="9"/>
  <c r="V9" i="20"/>
  <c r="G3" i="26"/>
  <c r="Y5" i="20"/>
  <c r="AM5" i="20"/>
  <c r="H11" i="20"/>
  <c r="AJ7" i="20"/>
  <c r="AJ12" i="20"/>
  <c r="I55" i="10"/>
  <c r="H7" i="20"/>
  <c r="AJ11" i="20"/>
  <c r="I78" i="9"/>
  <c r="H12" i="20"/>
  <c r="Q9" i="20"/>
  <c r="Y9" i="20"/>
  <c r="W9" i="20"/>
  <c r="J5" i="20"/>
  <c r="R77" i="9"/>
  <c r="R9" i="20"/>
  <c r="S77" i="9"/>
  <c r="W5" i="20"/>
  <c r="W77" i="9"/>
  <c r="AU5" i="20"/>
  <c r="U77" i="9"/>
  <c r="BA5" i="20"/>
  <c r="P9" i="20"/>
  <c r="X77" i="9"/>
  <c r="T77" i="9"/>
  <c r="BA9" i="20"/>
  <c r="Y77" i="9"/>
  <c r="AK9" i="20"/>
  <c r="AZ5" i="20"/>
  <c r="V5" i="20"/>
  <c r="AL9" i="20"/>
  <c r="T9" i="20"/>
  <c r="S9" i="20"/>
  <c r="AQ9" i="20"/>
  <c r="K9" i="20"/>
  <c r="AU9" i="20"/>
  <c r="R5" i="20"/>
  <c r="X5" i="20"/>
  <c r="X9" i="20"/>
  <c r="I9" i="20"/>
  <c r="K77" i="9"/>
  <c r="N77" i="9"/>
  <c r="M77" i="9"/>
  <c r="L5" i="20"/>
  <c r="AP5" i="20"/>
  <c r="E58" i="10"/>
  <c r="F13" i="11" s="1"/>
  <c r="F42" i="11" s="1"/>
  <c r="Z77" i="9"/>
  <c r="P77" i="9"/>
  <c r="K12" i="11"/>
  <c r="K41" i="11" s="1"/>
  <c r="AP9" i="20"/>
  <c r="L77" i="9"/>
  <c r="AO9" i="20"/>
  <c r="AY9" i="20"/>
  <c r="E63" i="10"/>
  <c r="K13" i="11" s="1"/>
  <c r="K42" i="11" s="1"/>
  <c r="AV5" i="20"/>
  <c r="AZ9" i="20"/>
  <c r="AL5" i="20"/>
  <c r="AT9" i="20"/>
  <c r="G7" i="20"/>
  <c r="S5" i="20"/>
  <c r="AN9" i="20"/>
  <c r="AS9" i="20"/>
  <c r="AV9" i="20"/>
  <c r="J9" i="20"/>
  <c r="E15" i="4"/>
  <c r="O77" i="9"/>
  <c r="M5" i="20"/>
  <c r="L12" i="11"/>
  <c r="L41" i="11" s="1"/>
  <c r="AX5" i="20"/>
  <c r="I5" i="20"/>
  <c r="E65" i="10"/>
  <c r="M13" i="11" s="1"/>
  <c r="M42" i="11" s="1"/>
  <c r="N9" i="20"/>
  <c r="O5" i="20"/>
  <c r="AF4" i="20"/>
  <c r="M12" i="11"/>
  <c r="M41" i="11" s="1"/>
  <c r="AO5" i="20"/>
  <c r="U4" i="9"/>
  <c r="Z4" i="9"/>
  <c r="O8" i="30"/>
  <c r="P8" i="30" s="1"/>
  <c r="T5" i="20"/>
  <c r="O7" i="30"/>
  <c r="P7" i="30" s="1"/>
  <c r="V77" i="9"/>
  <c r="O4" i="9"/>
  <c r="AY5" i="20"/>
  <c r="O6" i="30"/>
  <c r="P6" i="30" s="1"/>
  <c r="P4" i="9"/>
  <c r="Q5" i="20"/>
  <c r="AW5" i="20"/>
  <c r="O300" i="30"/>
  <c r="P300" i="30" s="1"/>
  <c r="AM9" i="20"/>
  <c r="U9" i="20"/>
  <c r="M14" i="6"/>
  <c r="N4" i="6"/>
  <c r="G4" i="26"/>
  <c r="F12" i="20"/>
  <c r="G12" i="20"/>
  <c r="O9" i="20"/>
  <c r="X4" i="9"/>
  <c r="AS5" i="20"/>
  <c r="AR9" i="20"/>
  <c r="AK5" i="20"/>
  <c r="M15" i="6"/>
  <c r="T12" i="6"/>
  <c r="N5" i="20"/>
  <c r="J4" i="9"/>
  <c r="AR5" i="20"/>
  <c r="K5" i="20"/>
  <c r="AX9" i="20"/>
  <c r="L9" i="20"/>
  <c r="M4" i="9"/>
  <c r="W4" i="9"/>
  <c r="J43" i="11"/>
  <c r="P5" i="20"/>
  <c r="V4" i="9"/>
  <c r="AQ5" i="20"/>
  <c r="AT5" i="20"/>
  <c r="Q77" i="9"/>
  <c r="AW9" i="20"/>
  <c r="N4" i="9"/>
  <c r="M9" i="20"/>
  <c r="R4" i="9"/>
  <c r="AN5" i="20"/>
  <c r="T4" i="9"/>
  <c r="B9" i="2"/>
  <c r="E9" i="2"/>
  <c r="B11" i="2"/>
  <c r="E11" i="2"/>
  <c r="Y10" i="4"/>
  <c r="E62" i="10"/>
  <c r="J13" i="11" s="1"/>
  <c r="J42" i="11" s="1"/>
  <c r="R14" i="6"/>
  <c r="AG11" i="20"/>
  <c r="T13" i="6"/>
  <c r="P12" i="6"/>
  <c r="Q12" i="6" s="1"/>
  <c r="G12" i="11"/>
  <c r="AH12" i="20"/>
  <c r="G6" i="39"/>
  <c r="H14" i="4"/>
  <c r="H15" i="4"/>
  <c r="AI12" i="20"/>
  <c r="B7" i="2"/>
  <c r="S15" i="6"/>
  <c r="U5" i="20"/>
  <c r="AF17" i="20"/>
  <c r="AG16" i="20"/>
  <c r="AF16" i="20" s="1"/>
  <c r="O5" i="30"/>
  <c r="P5" i="30" s="1"/>
  <c r="E4" i="10"/>
  <c r="D12" i="11"/>
  <c r="F12" i="11"/>
  <c r="H55" i="10"/>
  <c r="P3" i="30"/>
  <c r="AI7" i="20"/>
  <c r="D8" i="20"/>
  <c r="E11" i="20"/>
  <c r="AF8" i="20"/>
  <c r="G55" i="10"/>
  <c r="O4" i="30"/>
  <c r="P4" i="30" s="1"/>
  <c r="E59" i="10"/>
  <c r="G13" i="11" s="1"/>
  <c r="G42" i="11" s="1"/>
  <c r="O9" i="30"/>
  <c r="P9" i="30" s="1"/>
  <c r="T9" i="6"/>
  <c r="L4" i="9"/>
  <c r="D16" i="20"/>
  <c r="O11" i="30"/>
  <c r="P11" i="30" s="1"/>
  <c r="D17" i="20"/>
  <c r="E61" i="10"/>
  <c r="I13" i="11" s="1"/>
  <c r="I42" i="11" s="1"/>
  <c r="E60" i="10"/>
  <c r="H13" i="11" s="1"/>
  <c r="E12" i="11"/>
  <c r="O10" i="30"/>
  <c r="P10" i="30" s="1"/>
  <c r="AI11" i="20"/>
  <c r="H78" i="9"/>
  <c r="G11" i="20"/>
  <c r="E57" i="10"/>
  <c r="E13" i="11" s="1"/>
  <c r="E42" i="11" s="1"/>
  <c r="E12" i="20"/>
  <c r="AG12" i="20"/>
  <c r="F55" i="10"/>
  <c r="D7" i="11"/>
  <c r="E64" i="10"/>
  <c r="L13" i="11" s="1"/>
  <c r="L42" i="11" s="1"/>
  <c r="H12" i="11"/>
  <c r="H41" i="11" s="1"/>
  <c r="R8" i="4"/>
  <c r="K43" i="11"/>
  <c r="F133" i="3"/>
  <c r="P13" i="6"/>
  <c r="Q13" i="6" s="1"/>
  <c r="F127" i="3"/>
  <c r="F128" i="3"/>
  <c r="AY23" i="20"/>
  <c r="F135" i="3"/>
  <c r="F131" i="3"/>
  <c r="W23" i="20"/>
  <c r="BA23" i="20"/>
  <c r="AG23" i="20"/>
  <c r="F132" i="3"/>
  <c r="X23" i="20"/>
  <c r="Y23" i="20"/>
  <c r="F129" i="3"/>
  <c r="AZ23" i="20"/>
  <c r="F130" i="3"/>
  <c r="N20" i="20"/>
  <c r="Q16" i="39"/>
  <c r="V16" i="39" s="1"/>
  <c r="AM20" i="20"/>
  <c r="AT20" i="20"/>
  <c r="AY20" i="20"/>
  <c r="AL20" i="20"/>
  <c r="AZ21" i="20"/>
  <c r="AP20" i="20"/>
  <c r="S20" i="20"/>
  <c r="N21" i="20"/>
  <c r="AU21" i="20"/>
  <c r="V20" i="20"/>
  <c r="X20" i="20"/>
  <c r="W20" i="20"/>
  <c r="AX20" i="20"/>
  <c r="R21" i="20"/>
  <c r="O20" i="20"/>
  <c r="P20" i="20"/>
  <c r="AR21" i="20"/>
  <c r="AO21" i="20"/>
  <c r="AZ20" i="20"/>
  <c r="P21" i="20"/>
  <c r="F82" i="3"/>
  <c r="F85" i="3"/>
  <c r="M21" i="20"/>
  <c r="AY21" i="20"/>
  <c r="J21" i="20"/>
  <c r="L20" i="20"/>
  <c r="AL21" i="20"/>
  <c r="AJ21" i="20"/>
  <c r="X21" i="20"/>
  <c r="AN21" i="20"/>
  <c r="E20" i="20"/>
  <c r="G20" i="20"/>
  <c r="BA21" i="20"/>
  <c r="AJ20" i="20"/>
  <c r="AW21" i="20"/>
  <c r="E81" i="3"/>
  <c r="T9" i="4" s="1"/>
  <c r="U9" i="4" s="1"/>
  <c r="AT21" i="20"/>
  <c r="AM21" i="20"/>
  <c r="F79" i="3"/>
  <c r="I20" i="20"/>
  <c r="O21" i="20"/>
  <c r="Q20" i="20"/>
  <c r="F67" i="3"/>
  <c r="H21" i="20"/>
  <c r="F81" i="3"/>
  <c r="M20" i="20"/>
  <c r="S21" i="20"/>
  <c r="T21" i="20"/>
  <c r="AX21" i="20"/>
  <c r="AP21" i="20"/>
  <c r="AR20" i="20"/>
  <c r="AQ20" i="20"/>
  <c r="U20" i="20"/>
  <c r="Q21" i="20"/>
  <c r="J20" i="20"/>
  <c r="K21" i="20"/>
  <c r="E104" i="3"/>
  <c r="N12" i="4" s="1"/>
  <c r="E98" i="3"/>
  <c r="N6" i="4" s="1"/>
  <c r="V21" i="20"/>
  <c r="AO20" i="20"/>
  <c r="AN20" i="20"/>
  <c r="AS20" i="20"/>
  <c r="F104" i="3"/>
  <c r="AU20" i="20"/>
  <c r="AW20" i="20"/>
  <c r="AG20" i="20"/>
  <c r="F98" i="3"/>
  <c r="Y20" i="20"/>
  <c r="L21" i="20"/>
  <c r="AS21" i="20"/>
  <c r="Y21" i="20"/>
  <c r="E84" i="3"/>
  <c r="T12" i="4" s="1"/>
  <c r="U12" i="4" s="1"/>
  <c r="F80" i="3"/>
  <c r="I21" i="20"/>
  <c r="AK21" i="20"/>
  <c r="AV21" i="20"/>
  <c r="AG21" i="20"/>
  <c r="AQ21" i="20"/>
  <c r="U21" i="20"/>
  <c r="F68" i="3"/>
  <c r="K20" i="20"/>
  <c r="E77" i="3"/>
  <c r="T5" i="4" s="1"/>
  <c r="U5" i="4" s="1"/>
  <c r="F78" i="3"/>
  <c r="AK20" i="20"/>
  <c r="W21" i="20"/>
  <c r="H20" i="20"/>
  <c r="E80" i="3"/>
  <c r="T8" i="4" s="1"/>
  <c r="U8" i="4" s="1"/>
  <c r="F77" i="3"/>
  <c r="R20" i="20"/>
  <c r="AI20" i="20"/>
  <c r="F74" i="3"/>
  <c r="E85" i="3"/>
  <c r="T13" i="4" s="1"/>
  <c r="L84" i="3"/>
  <c r="F84" i="3" s="1"/>
  <c r="F69" i="3"/>
  <c r="E78" i="3"/>
  <c r="T6" i="4" s="1"/>
  <c r="U6" i="4" s="1"/>
  <c r="E79" i="3"/>
  <c r="T7" i="4" s="1"/>
  <c r="U7" i="4" s="1"/>
  <c r="E82" i="3"/>
  <c r="T10" i="4" s="1"/>
  <c r="U10" i="4" s="1"/>
  <c r="F126" i="3"/>
  <c r="F23" i="20"/>
  <c r="AH23" i="20"/>
  <c r="R4" i="4"/>
  <c r="Q14" i="4"/>
  <c r="K100" i="3"/>
  <c r="F70" i="3"/>
  <c r="K105" i="3"/>
  <c r="F75" i="3"/>
  <c r="K102" i="3"/>
  <c r="F72" i="3"/>
  <c r="K103" i="3"/>
  <c r="F73" i="3"/>
  <c r="F71" i="3"/>
  <c r="K101" i="3"/>
  <c r="L83" i="3"/>
  <c r="F83" i="3" s="1"/>
  <c r="E83" i="3"/>
  <c r="T11" i="4" s="1"/>
  <c r="U11" i="4" s="1"/>
  <c r="L97" i="3"/>
  <c r="F97" i="3" s="1"/>
  <c r="E97" i="3"/>
  <c r="N5" i="4" s="1"/>
  <c r="L76" i="3"/>
  <c r="E76" i="3"/>
  <c r="T4" i="4" s="1"/>
  <c r="K96" i="3"/>
  <c r="F66" i="3"/>
  <c r="BB99" i="3"/>
  <c r="E99" i="3"/>
  <c r="N7" i="4" s="1"/>
  <c r="G21" i="20" l="1"/>
  <c r="G19" i="20" s="1"/>
  <c r="G15" i="20" s="1"/>
  <c r="O82" i="30"/>
  <c r="P82" i="30" s="1"/>
  <c r="O89" i="30"/>
  <c r="P89" i="30" s="1"/>
  <c r="O88" i="30"/>
  <c r="P88" i="30" s="1"/>
  <c r="K9" i="11"/>
  <c r="K38" i="11" s="1"/>
  <c r="M9" i="11"/>
  <c r="M38" i="11" s="1"/>
  <c r="J9" i="11"/>
  <c r="J38" i="11" s="1"/>
  <c r="H9" i="11"/>
  <c r="H38" i="11" s="1"/>
  <c r="L9" i="11"/>
  <c r="L38" i="11" s="1"/>
  <c r="I9" i="11"/>
  <c r="I38" i="11" s="1"/>
  <c r="E10" i="2"/>
  <c r="E14" i="2" s="1"/>
  <c r="U14" i="6"/>
  <c r="E10" i="9"/>
  <c r="X14" i="4"/>
  <c r="T15" i="6"/>
  <c r="T14" i="6"/>
  <c r="Y14" i="4"/>
  <c r="B14" i="2"/>
  <c r="D12" i="20"/>
  <c r="D11" i="6"/>
  <c r="E11" i="6" s="1"/>
  <c r="D9" i="6"/>
  <c r="E9" i="6" s="1"/>
  <c r="N15" i="6"/>
  <c r="N14" i="6"/>
  <c r="D13" i="6"/>
  <c r="E13" i="6" s="1"/>
  <c r="E41" i="11"/>
  <c r="D5" i="6"/>
  <c r="E5" i="6" s="1"/>
  <c r="D8" i="6"/>
  <c r="E8" i="6" s="1"/>
  <c r="H42" i="11"/>
  <c r="C42" i="11" s="1"/>
  <c r="G41" i="11"/>
  <c r="D7" i="6"/>
  <c r="E7" i="6" s="1"/>
  <c r="F41" i="11"/>
  <c r="D6" i="6"/>
  <c r="E6" i="6" s="1"/>
  <c r="D10" i="6"/>
  <c r="E10" i="6" s="1"/>
  <c r="E55" i="10"/>
  <c r="D36" i="11"/>
  <c r="AF12" i="20"/>
  <c r="C13" i="11"/>
  <c r="D12" i="6"/>
  <c r="E12" i="6" s="1"/>
  <c r="C12" i="11"/>
  <c r="D41" i="11"/>
  <c r="D4" i="6"/>
  <c r="O6" i="39"/>
  <c r="U6" i="39" s="1"/>
  <c r="S6" i="39"/>
  <c r="Q6" i="39"/>
  <c r="V6" i="39" s="1"/>
  <c r="T6" i="39"/>
  <c r="Z5" i="4"/>
  <c r="Z7" i="4"/>
  <c r="Z6" i="4"/>
  <c r="AA6" i="4" s="1"/>
  <c r="Z12" i="4"/>
  <c r="U13" i="4"/>
  <c r="O12" i="4"/>
  <c r="O6" i="4"/>
  <c r="D23" i="20"/>
  <c r="BA19" i="20"/>
  <c r="BA15" i="20" s="1"/>
  <c r="AF23" i="20"/>
  <c r="N19" i="20"/>
  <c r="N15" i="20" s="1"/>
  <c r="AM19" i="20"/>
  <c r="AM15" i="20" s="1"/>
  <c r="T18" i="39"/>
  <c r="O18" i="39"/>
  <c r="U18" i="39" s="1"/>
  <c r="S18" i="39"/>
  <c r="Q18" i="39"/>
  <c r="V18" i="39" s="1"/>
  <c r="T16" i="39"/>
  <c r="S16" i="39"/>
  <c r="O16" i="39"/>
  <c r="U16" i="39" s="1"/>
  <c r="AL19" i="20"/>
  <c r="AL15" i="20" s="1"/>
  <c r="AT19" i="20"/>
  <c r="AT15" i="20" s="1"/>
  <c r="AY19" i="20"/>
  <c r="AY15" i="20" s="1"/>
  <c r="V19" i="20"/>
  <c r="V15" i="20" s="1"/>
  <c r="S19" i="20"/>
  <c r="S15" i="20" s="1"/>
  <c r="AP19" i="20"/>
  <c r="AP15" i="20" s="1"/>
  <c r="AU19" i="20"/>
  <c r="AU15" i="20" s="1"/>
  <c r="AX19" i="20"/>
  <c r="AX15" i="20" s="1"/>
  <c r="AZ19" i="20"/>
  <c r="AZ15" i="20" s="1"/>
  <c r="P19" i="20"/>
  <c r="P15" i="20" s="1"/>
  <c r="AO19" i="20"/>
  <c r="AO15" i="20" s="1"/>
  <c r="AR19" i="20"/>
  <c r="AR15" i="20" s="1"/>
  <c r="Q19" i="20"/>
  <c r="Q15" i="20" s="1"/>
  <c r="O19" i="20"/>
  <c r="O15" i="20" s="1"/>
  <c r="AJ19" i="20"/>
  <c r="AJ15" i="20" s="1"/>
  <c r="W19" i="20"/>
  <c r="W15" i="20" s="1"/>
  <c r="X19" i="20"/>
  <c r="X15" i="20" s="1"/>
  <c r="I19" i="20"/>
  <c r="I15" i="20" s="1"/>
  <c r="R19" i="20"/>
  <c r="R15" i="20" s="1"/>
  <c r="AK19" i="20"/>
  <c r="AK15" i="20" s="1"/>
  <c r="L19" i="20"/>
  <c r="L15" i="20" s="1"/>
  <c r="AN19" i="20"/>
  <c r="AN15" i="20" s="1"/>
  <c r="M19" i="20"/>
  <c r="M15" i="20" s="1"/>
  <c r="AW19" i="20"/>
  <c r="AW15" i="20" s="1"/>
  <c r="U19" i="20"/>
  <c r="U15" i="20" s="1"/>
  <c r="J19" i="20"/>
  <c r="J15" i="20" s="1"/>
  <c r="AQ19" i="20"/>
  <c r="AQ15" i="20" s="1"/>
  <c r="K19" i="20"/>
  <c r="K15" i="20" s="1"/>
  <c r="AI19" i="20"/>
  <c r="AI15" i="20" s="1"/>
  <c r="H19" i="20"/>
  <c r="H15" i="20" s="1"/>
  <c r="AG19" i="20"/>
  <c r="AG15" i="20" s="1"/>
  <c r="AS19" i="20"/>
  <c r="AS15" i="20" s="1"/>
  <c r="Y19" i="20"/>
  <c r="Y15" i="20" s="1"/>
  <c r="R15" i="4"/>
  <c r="R14" i="4"/>
  <c r="L101" i="3"/>
  <c r="F101" i="3" s="1"/>
  <c r="E101" i="3"/>
  <c r="N9" i="4" s="1"/>
  <c r="Z9" i="4" s="1"/>
  <c r="L103" i="3"/>
  <c r="F103" i="3" s="1"/>
  <c r="E103" i="3"/>
  <c r="N11" i="4" s="1"/>
  <c r="Z11" i="4" s="1"/>
  <c r="L102" i="3"/>
  <c r="F102" i="3" s="1"/>
  <c r="E102" i="3"/>
  <c r="N10" i="4" s="1"/>
  <c r="Z10" i="4" s="1"/>
  <c r="L105" i="3"/>
  <c r="F105" i="3" s="1"/>
  <c r="E105" i="3"/>
  <c r="N13" i="4" s="1"/>
  <c r="Z13" i="4" s="1"/>
  <c r="L100" i="3"/>
  <c r="F100" i="3" s="1"/>
  <c r="E100" i="3"/>
  <c r="N8" i="4" s="1"/>
  <c r="Z8" i="4" s="1"/>
  <c r="L96" i="3"/>
  <c r="E96" i="3"/>
  <c r="N4" i="4" s="1"/>
  <c r="Z4" i="4" s="1"/>
  <c r="T14" i="4"/>
  <c r="U4" i="4"/>
  <c r="O7" i="4"/>
  <c r="F99" i="3"/>
  <c r="T20" i="20"/>
  <c r="T19" i="20" s="1"/>
  <c r="T15" i="20" s="1"/>
  <c r="AV20" i="20"/>
  <c r="AV19" i="20" s="1"/>
  <c r="AV15" i="20" s="1"/>
  <c r="F76" i="3"/>
  <c r="E21" i="20" s="1"/>
  <c r="E19" i="20" s="1"/>
  <c r="AH21" i="20"/>
  <c r="AF21" i="20" s="1"/>
  <c r="O5" i="4"/>
  <c r="D21" i="20" l="1"/>
  <c r="E15" i="20"/>
  <c r="G79" i="9"/>
  <c r="G89" i="9"/>
  <c r="H7" i="11"/>
  <c r="E12" i="9"/>
  <c r="J7" i="11" s="1"/>
  <c r="J36" i="11" s="1"/>
  <c r="F9" i="26"/>
  <c r="I9" i="26" s="1"/>
  <c r="F10" i="26"/>
  <c r="I10" i="26" s="1"/>
  <c r="F11" i="26"/>
  <c r="I11" i="26" s="1"/>
  <c r="D15" i="6"/>
  <c r="E4" i="6"/>
  <c r="D14" i="6"/>
  <c r="C41" i="11"/>
  <c r="F22" i="26"/>
  <c r="I22" i="26" s="1"/>
  <c r="F4" i="26"/>
  <c r="I4" i="26" s="1"/>
  <c r="F8" i="26"/>
  <c r="I8" i="26" s="1"/>
  <c r="F45" i="26"/>
  <c r="I45" i="26" s="1"/>
  <c r="F21" i="26"/>
  <c r="I21" i="26" s="1"/>
  <c r="F29" i="26"/>
  <c r="I29" i="26" s="1"/>
  <c r="F56" i="26"/>
  <c r="I56" i="26" s="1"/>
  <c r="F27" i="26"/>
  <c r="I27" i="26" s="1"/>
  <c r="F61" i="26"/>
  <c r="I61" i="26" s="1"/>
  <c r="F58" i="26"/>
  <c r="I58" i="26" s="1"/>
  <c r="F3" i="26"/>
  <c r="F18" i="26"/>
  <c r="I18" i="26" s="1"/>
  <c r="F24" i="26"/>
  <c r="I24" i="26" s="1"/>
  <c r="F32" i="26"/>
  <c r="I32" i="26" s="1"/>
  <c r="F65" i="26"/>
  <c r="I65" i="26" s="1"/>
  <c r="F64" i="26"/>
  <c r="I64" i="26" s="1"/>
  <c r="F31" i="26"/>
  <c r="I31" i="26" s="1"/>
  <c r="F14" i="26"/>
  <c r="I14" i="26" s="1"/>
  <c r="F60" i="26"/>
  <c r="I60" i="26" s="1"/>
  <c r="F40" i="26"/>
  <c r="I40" i="26" s="1"/>
  <c r="F6" i="26"/>
  <c r="I6" i="26" s="1"/>
  <c r="G60" i="9" s="1"/>
  <c r="F26" i="26"/>
  <c r="I26" i="26" s="1"/>
  <c r="F47" i="26"/>
  <c r="I47" i="26" s="1"/>
  <c r="F19" i="26"/>
  <c r="I19" i="26" s="1"/>
  <c r="F39" i="26"/>
  <c r="I39" i="26" s="1"/>
  <c r="F34" i="26"/>
  <c r="I34" i="26" s="1"/>
  <c r="F20" i="26"/>
  <c r="I20" i="26" s="1"/>
  <c r="F28" i="26"/>
  <c r="I28" i="26" s="1"/>
  <c r="F49" i="26"/>
  <c r="I49" i="26" s="1"/>
  <c r="F55" i="26"/>
  <c r="I55" i="26" s="1"/>
  <c r="F51" i="26"/>
  <c r="I51" i="26" s="1"/>
  <c r="F38" i="26"/>
  <c r="I38" i="26" s="1"/>
  <c r="F13" i="26"/>
  <c r="I13" i="26" s="1"/>
  <c r="F35" i="26"/>
  <c r="I35" i="26" s="1"/>
  <c r="F30" i="26"/>
  <c r="I30" i="26" s="1"/>
  <c r="F37" i="26"/>
  <c r="I37" i="26" s="1"/>
  <c r="F43" i="26"/>
  <c r="I43" i="26" s="1"/>
  <c r="F33" i="26"/>
  <c r="I33" i="26" s="1"/>
  <c r="F23" i="26"/>
  <c r="I23" i="26" s="1"/>
  <c r="F5" i="26"/>
  <c r="I5" i="26" s="1"/>
  <c r="F53" i="26"/>
  <c r="I53" i="26" s="1"/>
  <c r="F48" i="26"/>
  <c r="I48" i="26" s="1"/>
  <c r="F63" i="26"/>
  <c r="I63" i="26" s="1"/>
  <c r="F59" i="26"/>
  <c r="I59" i="26" s="1"/>
  <c r="F50" i="26"/>
  <c r="I50" i="26" s="1"/>
  <c r="F54" i="26"/>
  <c r="I54" i="26" s="1"/>
  <c r="F17" i="26"/>
  <c r="I17" i="26" s="1"/>
  <c r="F42" i="26"/>
  <c r="I42" i="26" s="1"/>
  <c r="F44" i="26"/>
  <c r="I44" i="26" s="1"/>
  <c r="F25" i="26"/>
  <c r="I25" i="26" s="1"/>
  <c r="F12" i="26"/>
  <c r="I12" i="26" s="1"/>
  <c r="F36" i="26"/>
  <c r="I36" i="26" s="1"/>
  <c r="F41" i="26"/>
  <c r="I41" i="26" s="1"/>
  <c r="F52" i="26"/>
  <c r="I52" i="26" s="1"/>
  <c r="F46" i="26"/>
  <c r="I46" i="26" s="1"/>
  <c r="F57" i="26"/>
  <c r="I57" i="26" s="1"/>
  <c r="F62" i="26"/>
  <c r="I62" i="26" s="1"/>
  <c r="F15" i="26"/>
  <c r="I15" i="26" s="1"/>
  <c r="F7" i="26"/>
  <c r="I7" i="26" s="1"/>
  <c r="F16" i="26"/>
  <c r="I16" i="26" s="1"/>
  <c r="AA12" i="4"/>
  <c r="O8" i="4"/>
  <c r="O13" i="4"/>
  <c r="O10" i="4"/>
  <c r="O11" i="4"/>
  <c r="O9" i="4"/>
  <c r="AA5" i="4"/>
  <c r="F20" i="20"/>
  <c r="AH20" i="20"/>
  <c r="F96" i="3"/>
  <c r="AA7" i="4"/>
  <c r="U15" i="4"/>
  <c r="U14" i="4"/>
  <c r="N14" i="4"/>
  <c r="O4" i="4"/>
  <c r="H60" i="9" l="1"/>
  <c r="I58" i="9"/>
  <c r="I60" i="9"/>
  <c r="H58" i="9"/>
  <c r="H59" i="9"/>
  <c r="I59" i="9"/>
  <c r="G59" i="9"/>
  <c r="I57" i="9"/>
  <c r="H57" i="9"/>
  <c r="E79" i="9"/>
  <c r="E84" i="9"/>
  <c r="G97" i="9"/>
  <c r="E83" i="9"/>
  <c r="G90" i="9"/>
  <c r="G94" i="9"/>
  <c r="G81" i="9"/>
  <c r="E81" i="9" s="1"/>
  <c r="E85" i="9"/>
  <c r="G93" i="9"/>
  <c r="G5" i="9"/>
  <c r="E88" i="9"/>
  <c r="E86" i="9"/>
  <c r="E82" i="9"/>
  <c r="G95" i="9"/>
  <c r="G92" i="9"/>
  <c r="G91" i="9"/>
  <c r="E87" i="9"/>
  <c r="G96" i="9"/>
  <c r="E96" i="9" s="1"/>
  <c r="G80" i="9"/>
  <c r="E80" i="9" s="1"/>
  <c r="G98" i="9"/>
  <c r="F1" i="26"/>
  <c r="G57" i="9"/>
  <c r="E14" i="9"/>
  <c r="L7" i="11" s="1"/>
  <c r="C7" i="11" s="1"/>
  <c r="F5" i="9"/>
  <c r="E89" i="9"/>
  <c r="H36" i="11"/>
  <c r="I3" i="26"/>
  <c r="G58" i="9"/>
  <c r="D2" i="29"/>
  <c r="M6" i="29"/>
  <c r="M7" i="29"/>
  <c r="M14" i="29"/>
  <c r="M15" i="29"/>
  <c r="M12" i="29"/>
  <c r="M8" i="29"/>
  <c r="M5" i="29"/>
  <c r="M13" i="29"/>
  <c r="M9" i="29"/>
  <c r="M24" i="29"/>
  <c r="U11" i="29"/>
  <c r="M25" i="29"/>
  <c r="M18" i="29"/>
  <c r="M23" i="29"/>
  <c r="M26" i="29"/>
  <c r="M21" i="29"/>
  <c r="M22" i="29"/>
  <c r="M19" i="29"/>
  <c r="M27" i="29"/>
  <c r="M20" i="29"/>
  <c r="M39" i="29"/>
  <c r="M29" i="29"/>
  <c r="M30" i="29"/>
  <c r="M36" i="29"/>
  <c r="M31" i="29"/>
  <c r="M37" i="29"/>
  <c r="M38" i="29"/>
  <c r="M33" i="29"/>
  <c r="M35" i="29"/>
  <c r="M34" i="29"/>
  <c r="M32" i="29"/>
  <c r="E15" i="6"/>
  <c r="E14" i="6"/>
  <c r="AA9" i="4"/>
  <c r="AA11" i="4"/>
  <c r="AA10" i="4"/>
  <c r="AA13" i="4"/>
  <c r="AA8" i="4"/>
  <c r="O14" i="4"/>
  <c r="O15" i="4"/>
  <c r="AA4" i="4"/>
  <c r="Z14" i="4"/>
  <c r="AH19" i="20"/>
  <c r="AF20" i="20"/>
  <c r="F19" i="20"/>
  <c r="D19" i="20" s="1"/>
  <c r="D20" i="20"/>
  <c r="F58" i="9" l="1"/>
  <c r="E58" i="9" s="1"/>
  <c r="F60" i="9"/>
  <c r="E60" i="9" s="1"/>
  <c r="F57" i="9"/>
  <c r="E57" i="9" s="1"/>
  <c r="F59" i="9"/>
  <c r="E59" i="9" s="1"/>
  <c r="K8" i="11"/>
  <c r="G11" i="6" s="1"/>
  <c r="H11" i="6" s="1"/>
  <c r="E91" i="9"/>
  <c r="F8" i="11" s="1"/>
  <c r="F37" i="11" s="1"/>
  <c r="E95" i="9"/>
  <c r="J8" i="11" s="1"/>
  <c r="J37" i="11" s="1"/>
  <c r="AH7" i="20"/>
  <c r="E92" i="9"/>
  <c r="G8" i="11" s="1"/>
  <c r="G37" i="11" s="1"/>
  <c r="E90" i="9"/>
  <c r="E8" i="11" s="1"/>
  <c r="G5" i="6" s="1"/>
  <c r="H5" i="6" s="1"/>
  <c r="G78" i="9"/>
  <c r="F7" i="20"/>
  <c r="AH11" i="20"/>
  <c r="AF11" i="20" s="1"/>
  <c r="G7" i="39"/>
  <c r="O7" i="39" s="1"/>
  <c r="U7" i="39" s="1"/>
  <c r="E98" i="9"/>
  <c r="M8" i="11" s="1"/>
  <c r="M37" i="11" s="1"/>
  <c r="F11" i="20"/>
  <c r="D11" i="20" s="1"/>
  <c r="E5" i="9"/>
  <c r="C6" i="39" s="1"/>
  <c r="E97" i="9"/>
  <c r="L8" i="11" s="1"/>
  <c r="L37" i="11" s="1"/>
  <c r="G12" i="39"/>
  <c r="E94" i="9"/>
  <c r="I8" i="11" s="1"/>
  <c r="I37" i="11" s="1"/>
  <c r="E93" i="9"/>
  <c r="H8" i="11" s="1"/>
  <c r="G8" i="6" s="1"/>
  <c r="H8" i="6" s="1"/>
  <c r="D8" i="11"/>
  <c r="AG7" i="20"/>
  <c r="E7" i="20"/>
  <c r="L36" i="11"/>
  <c r="C36" i="11" s="1"/>
  <c r="M11" i="29"/>
  <c r="K1" i="29"/>
  <c r="M10" i="29"/>
  <c r="U15" i="29"/>
  <c r="M17" i="29"/>
  <c r="U5" i="29"/>
  <c r="M28" i="29"/>
  <c r="E28" i="29" s="1"/>
  <c r="H14" i="26" s="1"/>
  <c r="U7" i="29"/>
  <c r="M16" i="29"/>
  <c r="U6" i="29"/>
  <c r="I1" i="26"/>
  <c r="AH15" i="20"/>
  <c r="AF15" i="20" s="1"/>
  <c r="AF19" i="20"/>
  <c r="AA15" i="4"/>
  <c r="AA16" i="4" s="1"/>
  <c r="AA14" i="4"/>
  <c r="F15" i="20"/>
  <c r="D15" i="20" s="1"/>
  <c r="G9" i="6" l="1"/>
  <c r="H9" i="6" s="1"/>
  <c r="K37" i="11"/>
  <c r="E4" i="29"/>
  <c r="H12" i="26" s="1"/>
  <c r="E16" i="29"/>
  <c r="H13" i="26" s="1"/>
  <c r="G10" i="6"/>
  <c r="H10" i="6" s="1"/>
  <c r="AF7" i="20"/>
  <c r="G7" i="6"/>
  <c r="H7" i="6" s="1"/>
  <c r="E37" i="11"/>
  <c r="Q7" i="39"/>
  <c r="V7" i="39" s="1"/>
  <c r="S7" i="39"/>
  <c r="T7" i="39"/>
  <c r="D7" i="20"/>
  <c r="H37" i="11"/>
  <c r="G12" i="6"/>
  <c r="H12" i="6" s="1"/>
  <c r="G13" i="39"/>
  <c r="S13" i="39" s="1"/>
  <c r="G6" i="6"/>
  <c r="H6" i="6" s="1"/>
  <c r="G13" i="6"/>
  <c r="H13" i="6" s="1"/>
  <c r="Q12" i="39"/>
  <c r="V12" i="39" s="1"/>
  <c r="S12" i="39"/>
  <c r="T12" i="39"/>
  <c r="O12" i="39"/>
  <c r="U12" i="39" s="1"/>
  <c r="E78" i="9"/>
  <c r="C12" i="39" s="1"/>
  <c r="D37" i="11"/>
  <c r="G4" i="6"/>
  <c r="C8" i="11"/>
  <c r="V7" i="29"/>
  <c r="M1" i="29"/>
  <c r="G5" i="39"/>
  <c r="O5" i="39" s="1"/>
  <c r="U5" i="39" s="1"/>
  <c r="V15" i="29"/>
  <c r="V4" i="29"/>
  <c r="V10" i="29"/>
  <c r="V14" i="29"/>
  <c r="V8" i="29"/>
  <c r="V11" i="29"/>
  <c r="W6" i="29"/>
  <c r="W7" i="29"/>
  <c r="H5" i="26"/>
  <c r="H11" i="26"/>
  <c r="H8" i="26"/>
  <c r="C4" i="29"/>
  <c r="O1" i="32"/>
  <c r="O4" i="32" s="1"/>
  <c r="C28" i="29"/>
  <c r="C16" i="29"/>
  <c r="H9" i="26"/>
  <c r="H6" i="26"/>
  <c r="V6" i="29"/>
  <c r="W12" i="29"/>
  <c r="W14" i="29"/>
  <c r="W11" i="29"/>
  <c r="W13" i="29"/>
  <c r="W10" i="29"/>
  <c r="W5" i="29"/>
  <c r="W15" i="29"/>
  <c r="W8" i="29"/>
  <c r="W4" i="29"/>
  <c r="V5" i="29"/>
  <c r="W9" i="29"/>
  <c r="H10" i="26" l="1"/>
  <c r="H4" i="26"/>
  <c r="H7" i="26"/>
  <c r="H3" i="26"/>
  <c r="O1" i="29"/>
  <c r="E3" i="11" s="1"/>
  <c r="O5" i="32"/>
  <c r="O6" i="32"/>
  <c r="O13" i="39"/>
  <c r="U13" i="39" s="1"/>
  <c r="C37" i="11"/>
  <c r="Q13" i="39"/>
  <c r="V13" i="39" s="1"/>
  <c r="T13" i="39"/>
  <c r="H4" i="6"/>
  <c r="G14" i="6"/>
  <c r="G15" i="6"/>
  <c r="S5" i="39"/>
  <c r="T5" i="39"/>
  <c r="Q5" i="39"/>
  <c r="V5" i="39" s="1"/>
  <c r="G1" i="37"/>
  <c r="E65" i="26"/>
  <c r="J65" i="26" s="1"/>
  <c r="K65" i="26" s="1"/>
  <c r="E41" i="26"/>
  <c r="J41" i="26" s="1"/>
  <c r="K41" i="26" s="1"/>
  <c r="E47" i="26"/>
  <c r="J47" i="26" s="1"/>
  <c r="K47" i="26" s="1"/>
  <c r="E32" i="26"/>
  <c r="J32" i="26" s="1"/>
  <c r="K32" i="26" s="1"/>
  <c r="E26" i="26"/>
  <c r="J26" i="26" s="1"/>
  <c r="K26" i="26" s="1"/>
  <c r="E50" i="26"/>
  <c r="J50" i="26" s="1"/>
  <c r="K50" i="26" s="1"/>
  <c r="E20" i="26"/>
  <c r="J20" i="26" s="1"/>
  <c r="K20" i="26" s="1"/>
  <c r="E38" i="26"/>
  <c r="J38" i="26" s="1"/>
  <c r="K38" i="26" s="1"/>
  <c r="E62" i="26"/>
  <c r="J62" i="26" s="1"/>
  <c r="K62" i="26" s="1"/>
  <c r="E44" i="26"/>
  <c r="J44" i="26" s="1"/>
  <c r="K44" i="26" s="1"/>
  <c r="E35" i="26"/>
  <c r="J35" i="26" s="1"/>
  <c r="K35" i="26" s="1"/>
  <c r="E23" i="26"/>
  <c r="J23" i="26" s="1"/>
  <c r="K23" i="26" s="1"/>
  <c r="E17" i="26"/>
  <c r="J17" i="26" s="1"/>
  <c r="K17" i="26" s="1"/>
  <c r="E56" i="26"/>
  <c r="J56" i="26" s="1"/>
  <c r="K56" i="26" s="1"/>
  <c r="K14" i="26"/>
  <c r="E29" i="26"/>
  <c r="J29" i="26" s="1"/>
  <c r="K29" i="26" s="1"/>
  <c r="E59" i="26"/>
  <c r="J59" i="26" s="1"/>
  <c r="K59" i="26" s="1"/>
  <c r="E53" i="26"/>
  <c r="J53" i="26" s="1"/>
  <c r="K53" i="26" s="1"/>
  <c r="O3" i="32"/>
  <c r="E36" i="26"/>
  <c r="J36" i="26" s="1"/>
  <c r="K36" i="26" s="1"/>
  <c r="E24" i="26"/>
  <c r="J24" i="26" s="1"/>
  <c r="K24" i="26" s="1"/>
  <c r="E21" i="26"/>
  <c r="J21" i="26" s="1"/>
  <c r="K21" i="26" s="1"/>
  <c r="E30" i="26"/>
  <c r="J30" i="26" s="1"/>
  <c r="K30" i="26" s="1"/>
  <c r="E54" i="26"/>
  <c r="J54" i="26" s="1"/>
  <c r="K54" i="26" s="1"/>
  <c r="E15" i="26"/>
  <c r="J15" i="26" s="1"/>
  <c r="K15" i="26" s="1"/>
  <c r="E57" i="26"/>
  <c r="J57" i="26" s="1"/>
  <c r="K57" i="26" s="1"/>
  <c r="J12" i="26"/>
  <c r="E45" i="26"/>
  <c r="J45" i="26" s="1"/>
  <c r="K45" i="26" s="1"/>
  <c r="E18" i="26"/>
  <c r="J18" i="26" s="1"/>
  <c r="K18" i="26" s="1"/>
  <c r="E42" i="26"/>
  <c r="J42" i="26" s="1"/>
  <c r="K42" i="26" s="1"/>
  <c r="E27" i="26"/>
  <c r="J27" i="26" s="1"/>
  <c r="K27" i="26" s="1"/>
  <c r="E48" i="26"/>
  <c r="J48" i="26" s="1"/>
  <c r="K48" i="26" s="1"/>
  <c r="E63" i="26"/>
  <c r="J63" i="26" s="1"/>
  <c r="K63" i="26" s="1"/>
  <c r="E39" i="26"/>
  <c r="J39" i="26" s="1"/>
  <c r="K39" i="26" s="1"/>
  <c r="E60" i="26"/>
  <c r="J60" i="26" s="1"/>
  <c r="K60" i="26" s="1"/>
  <c r="E33" i="26"/>
  <c r="J33" i="26" s="1"/>
  <c r="K33" i="26" s="1"/>
  <c r="E51" i="26"/>
  <c r="J51" i="26" s="1"/>
  <c r="K51" i="26" s="1"/>
  <c r="E64" i="26"/>
  <c r="J64" i="26" s="1"/>
  <c r="K64" i="26" s="1"/>
  <c r="E55" i="26"/>
  <c r="J55" i="26" s="1"/>
  <c r="K55" i="26" s="1"/>
  <c r="E61" i="26"/>
  <c r="J61" i="26" s="1"/>
  <c r="K61" i="26" s="1"/>
  <c r="E52" i="26"/>
  <c r="J52" i="26" s="1"/>
  <c r="K52" i="26" s="1"/>
  <c r="E34" i="26"/>
  <c r="J34" i="26" s="1"/>
  <c r="K34" i="26" s="1"/>
  <c r="E40" i="26"/>
  <c r="J40" i="26" s="1"/>
  <c r="K40" i="26" s="1"/>
  <c r="E19" i="26"/>
  <c r="J19" i="26" s="1"/>
  <c r="K19" i="26" s="1"/>
  <c r="E58" i="26"/>
  <c r="J58" i="26" s="1"/>
  <c r="K58" i="26" s="1"/>
  <c r="J13" i="26"/>
  <c r="K13" i="26" s="1"/>
  <c r="E37" i="26"/>
  <c r="J37" i="26" s="1"/>
  <c r="K37" i="26" s="1"/>
  <c r="E22" i="26"/>
  <c r="J22" i="26" s="1"/>
  <c r="K22" i="26" s="1"/>
  <c r="E25" i="26"/>
  <c r="J25" i="26" s="1"/>
  <c r="K25" i="26" s="1"/>
  <c r="E43" i="26"/>
  <c r="J43" i="26" s="1"/>
  <c r="K43" i="26" s="1"/>
  <c r="E31" i="26"/>
  <c r="J31" i="26" s="1"/>
  <c r="K31" i="26" s="1"/>
  <c r="E46" i="26"/>
  <c r="J46" i="26" s="1"/>
  <c r="K46" i="26" s="1"/>
  <c r="E28" i="26"/>
  <c r="J28" i="26" s="1"/>
  <c r="K28" i="26" s="1"/>
  <c r="E49" i="26"/>
  <c r="J49" i="26" s="1"/>
  <c r="K49" i="26" s="1"/>
  <c r="E16" i="26"/>
  <c r="J16" i="26" s="1"/>
  <c r="K16" i="26" s="1"/>
  <c r="I38" i="9" l="1"/>
  <c r="I40" i="9"/>
  <c r="I39" i="9"/>
  <c r="G19" i="39"/>
  <c r="I2" i="37"/>
  <c r="K12" i="26"/>
  <c r="I37" i="9"/>
  <c r="H15" i="6"/>
  <c r="H14" i="6"/>
  <c r="D52" i="37"/>
  <c r="J5" i="26"/>
  <c r="K5" i="26" s="1"/>
  <c r="J4" i="26"/>
  <c r="K4" i="26" s="1"/>
  <c r="J11" i="26"/>
  <c r="K11" i="26" s="1"/>
  <c r="J10" i="26"/>
  <c r="K10" i="26" s="1"/>
  <c r="J9" i="26"/>
  <c r="H40" i="9" s="1"/>
  <c r="J8" i="26"/>
  <c r="K8" i="26" s="1"/>
  <c r="J7" i="26"/>
  <c r="K7" i="26" s="1"/>
  <c r="J6" i="26"/>
  <c r="G40" i="9" s="1"/>
  <c r="H39" i="9" l="1"/>
  <c r="H38" i="9"/>
  <c r="G37" i="9"/>
  <c r="G39" i="9"/>
  <c r="I100" i="9"/>
  <c r="I120" i="9"/>
  <c r="I128" i="9"/>
  <c r="I127" i="9"/>
  <c r="I122" i="9"/>
  <c r="I105" i="9"/>
  <c r="I104" i="9"/>
  <c r="I126" i="9"/>
  <c r="I109" i="9"/>
  <c r="I123" i="9"/>
  <c r="I36" i="9"/>
  <c r="I4" i="9" s="1"/>
  <c r="I129" i="9"/>
  <c r="I102" i="9"/>
  <c r="I101" i="9"/>
  <c r="I124" i="9"/>
  <c r="I121" i="9"/>
  <c r="I106" i="9"/>
  <c r="I107" i="9"/>
  <c r="I108" i="9"/>
  <c r="I103" i="9"/>
  <c r="I125" i="9"/>
  <c r="H37" i="9"/>
  <c r="K9" i="26"/>
  <c r="K6" i="26"/>
  <c r="G38" i="9"/>
  <c r="E1" i="26"/>
  <c r="F38" i="9" l="1"/>
  <c r="E38" i="9" s="1"/>
  <c r="E9" i="11" s="1"/>
  <c r="E38" i="11" s="1"/>
  <c r="F40" i="9"/>
  <c r="E40" i="9" s="1"/>
  <c r="G9" i="11" s="1"/>
  <c r="G38" i="11" s="1"/>
  <c r="F37" i="9"/>
  <c r="F39" i="9"/>
  <c r="E39" i="9" s="1"/>
  <c r="F9" i="11" s="1"/>
  <c r="F38" i="11" s="1"/>
  <c r="AJ6" i="20"/>
  <c r="AJ5" i="20" s="1"/>
  <c r="H6" i="20"/>
  <c r="H5" i="20" s="1"/>
  <c r="I99" i="9"/>
  <c r="I77" i="9" s="1"/>
  <c r="H10" i="20"/>
  <c r="H9" i="20" s="1"/>
  <c r="AJ10" i="20"/>
  <c r="AJ9" i="20" s="1"/>
  <c r="H100" i="9"/>
  <c r="H120" i="9"/>
  <c r="G100" i="9"/>
  <c r="G120" i="9"/>
  <c r="J1" i="26"/>
  <c r="K3" i="26"/>
  <c r="K1" i="26" s="1"/>
  <c r="G125" i="9"/>
  <c r="G36" i="9"/>
  <c r="G4" i="9" s="1"/>
  <c r="G101" i="9"/>
  <c r="G104" i="9"/>
  <c r="G129" i="9"/>
  <c r="G109" i="9"/>
  <c r="G121" i="9"/>
  <c r="G105" i="9"/>
  <c r="G103" i="9"/>
  <c r="G123" i="9"/>
  <c r="G122" i="9"/>
  <c r="G124" i="9"/>
  <c r="G107" i="9"/>
  <c r="G126" i="9"/>
  <c r="G127" i="9"/>
  <c r="G128" i="9"/>
  <c r="G106" i="9"/>
  <c r="G108" i="9"/>
  <c r="G102" i="9"/>
  <c r="H123" i="9"/>
  <c r="H108" i="9"/>
  <c r="H129" i="9"/>
  <c r="H36" i="9"/>
  <c r="H4" i="9" s="1"/>
  <c r="H102" i="9"/>
  <c r="H127" i="9"/>
  <c r="H104" i="9"/>
  <c r="H121" i="9"/>
  <c r="H105" i="9"/>
  <c r="H106" i="9"/>
  <c r="H103" i="9"/>
  <c r="H128" i="9"/>
  <c r="H101" i="9"/>
  <c r="H125" i="9"/>
  <c r="H107" i="9"/>
  <c r="H122" i="9"/>
  <c r="H109" i="9"/>
  <c r="H126" i="9"/>
  <c r="H124" i="9"/>
  <c r="F123" i="9" l="1"/>
  <c r="E123" i="9" s="1"/>
  <c r="F129" i="9"/>
  <c r="E129" i="9" s="1"/>
  <c r="F128" i="9"/>
  <c r="E128" i="9" s="1"/>
  <c r="F121" i="9"/>
  <c r="E121" i="9" s="1"/>
  <c r="F126" i="9"/>
  <c r="F102" i="9"/>
  <c r="E102" i="9" s="1"/>
  <c r="F101" i="9"/>
  <c r="F105" i="9"/>
  <c r="E105" i="9" s="1"/>
  <c r="F103" i="9"/>
  <c r="E103" i="9" s="1"/>
  <c r="F104" i="9"/>
  <c r="E104" i="9" s="1"/>
  <c r="F106" i="9"/>
  <c r="E106" i="9" s="1"/>
  <c r="F107" i="9"/>
  <c r="E107" i="9" s="1"/>
  <c r="F100" i="9"/>
  <c r="E100" i="9" s="1"/>
  <c r="F108" i="9"/>
  <c r="E108" i="9" s="1"/>
  <c r="F109" i="9"/>
  <c r="E109" i="9" s="1"/>
  <c r="F120" i="9"/>
  <c r="E120" i="9" s="1"/>
  <c r="F125" i="9"/>
  <c r="E125" i="9" s="1"/>
  <c r="F36" i="9"/>
  <c r="F4" i="9" s="1"/>
  <c r="F122" i="9"/>
  <c r="E122" i="9" s="1"/>
  <c r="F124" i="9"/>
  <c r="E124" i="9" s="1"/>
  <c r="F127" i="9"/>
  <c r="E127" i="9" s="1"/>
  <c r="G6" i="20"/>
  <c r="G5" i="20" s="1"/>
  <c r="AH6" i="20"/>
  <c r="AH5" i="20" s="1"/>
  <c r="F6" i="20"/>
  <c r="F5" i="20" s="1"/>
  <c r="AI6" i="20"/>
  <c r="AI5" i="20" s="1"/>
  <c r="AH10" i="20"/>
  <c r="AH9" i="20" s="1"/>
  <c r="F10" i="20"/>
  <c r="F9" i="20" s="1"/>
  <c r="G99" i="9"/>
  <c r="G77" i="9" s="1"/>
  <c r="G10" i="20"/>
  <c r="G9" i="20" s="1"/>
  <c r="AI10" i="20"/>
  <c r="AI9" i="20" s="1"/>
  <c r="H99" i="9"/>
  <c r="H77" i="9" s="1"/>
  <c r="E126" i="9"/>
  <c r="E37" i="9"/>
  <c r="F99" i="9" l="1"/>
  <c r="F77" i="9" s="1"/>
  <c r="D10" i="11"/>
  <c r="D39" i="11" s="1"/>
  <c r="M10" i="11"/>
  <c r="M15" i="11" s="1"/>
  <c r="L10" i="11"/>
  <c r="J12" i="6" s="1"/>
  <c r="G10" i="11"/>
  <c r="G39" i="11" s="1"/>
  <c r="G44" i="11" s="1"/>
  <c r="H10" i="11"/>
  <c r="J8" i="6" s="1"/>
  <c r="K8" i="6" s="1"/>
  <c r="J10" i="11"/>
  <c r="J15" i="11" s="1"/>
  <c r="E101" i="9"/>
  <c r="E10" i="20"/>
  <c r="AG10" i="20"/>
  <c r="E6" i="20"/>
  <c r="K10" i="11"/>
  <c r="AG6" i="20"/>
  <c r="F10" i="11"/>
  <c r="D9" i="11"/>
  <c r="G4" i="39"/>
  <c r="E36" i="9"/>
  <c r="G10" i="39"/>
  <c r="I10" i="11"/>
  <c r="M39" i="11" l="1"/>
  <c r="M44" i="11" s="1"/>
  <c r="J13" i="6"/>
  <c r="K13" i="6" s="1"/>
  <c r="L15" i="11"/>
  <c r="J39" i="11"/>
  <c r="J44" i="11" s="1"/>
  <c r="L39" i="11"/>
  <c r="L44" i="11" s="1"/>
  <c r="J10" i="6"/>
  <c r="K10" i="6" s="1"/>
  <c r="J7" i="6"/>
  <c r="K7" i="6" s="1"/>
  <c r="H39" i="11"/>
  <c r="H44" i="11" s="1"/>
  <c r="AG5" i="20"/>
  <c r="AF5" i="20" s="1"/>
  <c r="AF6" i="20"/>
  <c r="J11" i="6"/>
  <c r="K15" i="11"/>
  <c r="K39" i="11"/>
  <c r="K44" i="11" s="1"/>
  <c r="D6" i="20"/>
  <c r="E5" i="20"/>
  <c r="D5" i="20" s="1"/>
  <c r="D38" i="11"/>
  <c r="C38" i="11" s="1"/>
  <c r="J4" i="6"/>
  <c r="C9" i="11"/>
  <c r="S4" i="39"/>
  <c r="O4" i="39"/>
  <c r="U4" i="39" s="1"/>
  <c r="Q4" i="39"/>
  <c r="V4" i="39" s="1"/>
  <c r="T4" i="39"/>
  <c r="I39" i="11"/>
  <c r="I44" i="11" s="1"/>
  <c r="J9" i="6"/>
  <c r="K9" i="6" s="1"/>
  <c r="AG9" i="20"/>
  <c r="AF9" i="20" s="1"/>
  <c r="AF10" i="20"/>
  <c r="E4" i="9"/>
  <c r="C3" i="39"/>
  <c r="F39" i="11"/>
  <c r="F44" i="11" s="1"/>
  <c r="J6" i="6"/>
  <c r="K6" i="6" s="1"/>
  <c r="E9" i="20"/>
  <c r="D9" i="20" s="1"/>
  <c r="D10" i="20"/>
  <c r="Q10" i="39"/>
  <c r="V10" i="39" s="1"/>
  <c r="O10" i="39"/>
  <c r="U10" i="39" s="1"/>
  <c r="T10" i="39"/>
  <c r="S10" i="39"/>
  <c r="K12" i="6"/>
  <c r="V12" i="6"/>
  <c r="E10" i="11"/>
  <c r="G9" i="39"/>
  <c r="E99" i="9"/>
  <c r="F151" i="9" l="1"/>
  <c r="F152" i="9"/>
  <c r="F161" i="9"/>
  <c r="V13" i="6"/>
  <c r="W13" i="6" s="1"/>
  <c r="V10" i="6"/>
  <c r="F10" i="2" s="1"/>
  <c r="G10" i="2" s="1"/>
  <c r="J10" i="2" s="1"/>
  <c r="K4" i="6"/>
  <c r="E77" i="9"/>
  <c r="C9" i="39"/>
  <c r="E39" i="11"/>
  <c r="C10" i="11"/>
  <c r="J5" i="6"/>
  <c r="K5" i="6" s="1"/>
  <c r="Q164" i="9"/>
  <c r="Z156" i="9"/>
  <c r="W164" i="9"/>
  <c r="Z164" i="9"/>
  <c r="V162" i="9"/>
  <c r="S165" i="9"/>
  <c r="Y165" i="9"/>
  <c r="Y163" i="9"/>
  <c r="Q165" i="9"/>
  <c r="I161" i="9"/>
  <c r="X154" i="9"/>
  <c r="Z165" i="9"/>
  <c r="L165" i="9"/>
  <c r="H154" i="9"/>
  <c r="H166" i="9"/>
  <c r="G165" i="9"/>
  <c r="R156" i="9"/>
  <c r="W151" i="9"/>
  <c r="K155" i="9"/>
  <c r="H165" i="9"/>
  <c r="P153" i="9"/>
  <c r="U154" i="9"/>
  <c r="I152" i="9"/>
  <c r="O152" i="9"/>
  <c r="M153" i="9"/>
  <c r="S156" i="9"/>
  <c r="Y166" i="9"/>
  <c r="N151" i="9"/>
  <c r="W156" i="9"/>
  <c r="X165" i="9"/>
  <c r="T154" i="9"/>
  <c r="M161" i="9"/>
  <c r="N164" i="9"/>
  <c r="R152" i="9"/>
  <c r="H161" i="9"/>
  <c r="G163" i="9"/>
  <c r="M152" i="9"/>
  <c r="G152" i="9"/>
  <c r="U162" i="9"/>
  <c r="S153" i="9"/>
  <c r="W161" i="9"/>
  <c r="Y162" i="9"/>
  <c r="K164" i="9"/>
  <c r="P151" i="9"/>
  <c r="P162" i="9"/>
  <c r="I164" i="9"/>
  <c r="V156" i="9"/>
  <c r="J151" i="9"/>
  <c r="N166" i="9"/>
  <c r="Q153" i="9"/>
  <c r="U165" i="9"/>
  <c r="Z166" i="9"/>
  <c r="T151" i="9"/>
  <c r="T165" i="9"/>
  <c r="P165" i="9"/>
  <c r="G156" i="9"/>
  <c r="G151" i="9"/>
  <c r="H163" i="9"/>
  <c r="O164" i="9"/>
  <c r="Z153" i="9"/>
  <c r="W165" i="9"/>
  <c r="Y161" i="9"/>
  <c r="U161" i="9"/>
  <c r="T163" i="9"/>
  <c r="Z154" i="9"/>
  <c r="I155" i="9"/>
  <c r="L153" i="9"/>
  <c r="V154" i="9"/>
  <c r="S163" i="9"/>
  <c r="S164" i="9"/>
  <c r="K162" i="9"/>
  <c r="P156" i="9"/>
  <c r="M155" i="9"/>
  <c r="Z152" i="9"/>
  <c r="R166" i="9"/>
  <c r="S155" i="9"/>
  <c r="H155" i="9"/>
  <c r="H152" i="9"/>
  <c r="X155" i="9"/>
  <c r="Y151" i="9"/>
  <c r="S161" i="9"/>
  <c r="N162" i="9"/>
  <c r="R162" i="9"/>
  <c r="X151" i="9"/>
  <c r="M165" i="9"/>
  <c r="M164" i="9"/>
  <c r="N156" i="9"/>
  <c r="J162" i="9"/>
  <c r="S154" i="9"/>
  <c r="V164" i="9"/>
  <c r="O166" i="9"/>
  <c r="P161" i="9"/>
  <c r="N161" i="9"/>
  <c r="I162" i="9"/>
  <c r="M162" i="9"/>
  <c r="Q156" i="9"/>
  <c r="L152" i="9"/>
  <c r="X156" i="9"/>
  <c r="W155" i="9"/>
  <c r="H156" i="9"/>
  <c r="I165" i="9"/>
  <c r="G155" i="9"/>
  <c r="N152" i="9"/>
  <c r="S152" i="9"/>
  <c r="I154" i="9"/>
  <c r="N154" i="9"/>
  <c r="I166" i="9"/>
  <c r="O156" i="9"/>
  <c r="P166" i="9"/>
  <c r="U151" i="9"/>
  <c r="T162" i="9"/>
  <c r="Q152" i="9"/>
  <c r="X164" i="9"/>
  <c r="R154" i="9"/>
  <c r="X153" i="9"/>
  <c r="N163" i="9"/>
  <c r="J166" i="9"/>
  <c r="L164" i="9"/>
  <c r="I153" i="9"/>
  <c r="X162" i="9"/>
  <c r="M156" i="9"/>
  <c r="Q154" i="9"/>
  <c r="K165" i="9"/>
  <c r="V161" i="9"/>
  <c r="V152" i="9"/>
  <c r="R165" i="9"/>
  <c r="Y156" i="9"/>
  <c r="Q155" i="9"/>
  <c r="S162" i="9"/>
  <c r="U152" i="9"/>
  <c r="X152" i="9"/>
  <c r="K166" i="9"/>
  <c r="W163" i="9"/>
  <c r="W162" i="9"/>
  <c r="T153" i="9"/>
  <c r="V163" i="9"/>
  <c r="K153" i="9"/>
  <c r="J165" i="9"/>
  <c r="O163" i="9"/>
  <c r="O161" i="9"/>
  <c r="M166" i="9"/>
  <c r="U155" i="9"/>
  <c r="P163" i="9"/>
  <c r="I156" i="9"/>
  <c r="U163" i="9"/>
  <c r="Y155" i="9"/>
  <c r="O151" i="9"/>
  <c r="Z151" i="9"/>
  <c r="G166" i="9"/>
  <c r="X161" i="9"/>
  <c r="K151" i="9"/>
  <c r="L163" i="9"/>
  <c r="Q162" i="9"/>
  <c r="Y164" i="9"/>
  <c r="U164" i="9"/>
  <c r="L162" i="9"/>
  <c r="X166" i="9"/>
  <c r="J156" i="9"/>
  <c r="M163" i="9"/>
  <c r="J164" i="9"/>
  <c r="Z155" i="9"/>
  <c r="L151" i="9"/>
  <c r="K154" i="9"/>
  <c r="Y153" i="9"/>
  <c r="H164" i="9"/>
  <c r="O162" i="9"/>
  <c r="N155" i="9"/>
  <c r="H151" i="9"/>
  <c r="L154" i="9"/>
  <c r="R151" i="9"/>
  <c r="O153" i="9"/>
  <c r="W153" i="9"/>
  <c r="Q163" i="9"/>
  <c r="J163" i="9"/>
  <c r="U166" i="9"/>
  <c r="K161" i="9"/>
  <c r="M154" i="9"/>
  <c r="U153" i="9"/>
  <c r="T166" i="9"/>
  <c r="L155" i="9"/>
  <c r="P155" i="9"/>
  <c r="G153" i="9"/>
  <c r="J154" i="9"/>
  <c r="M151" i="9"/>
  <c r="R155" i="9"/>
  <c r="K152" i="9"/>
  <c r="J155" i="9"/>
  <c r="T152" i="9"/>
  <c r="O154" i="9"/>
  <c r="K163" i="9"/>
  <c r="J161" i="9"/>
  <c r="L166" i="9"/>
  <c r="L156" i="9"/>
  <c r="Q151" i="9"/>
  <c r="N165" i="9"/>
  <c r="V165" i="9"/>
  <c r="Z162" i="9"/>
  <c r="J153" i="9"/>
  <c r="G162" i="9"/>
  <c r="O155" i="9"/>
  <c r="H153" i="9"/>
  <c r="P164" i="9"/>
  <c r="Y154" i="9"/>
  <c r="R164" i="9"/>
  <c r="R153" i="9"/>
  <c r="U156" i="9"/>
  <c r="T156" i="9"/>
  <c r="W154" i="9"/>
  <c r="I163" i="9"/>
  <c r="V155" i="9"/>
  <c r="Z163" i="9"/>
  <c r="J152" i="9"/>
  <c r="Q166" i="9"/>
  <c r="S166" i="9"/>
  <c r="X163" i="9"/>
  <c r="R161" i="9"/>
  <c r="I151" i="9"/>
  <c r="Z161" i="9"/>
  <c r="V151" i="9"/>
  <c r="W166" i="9"/>
  <c r="N153" i="9"/>
  <c r="V153" i="9"/>
  <c r="Y152" i="9"/>
  <c r="H162" i="9"/>
  <c r="G164" i="9"/>
  <c r="K156" i="9"/>
  <c r="T155" i="9"/>
  <c r="O165" i="9"/>
  <c r="T161" i="9"/>
  <c r="W152" i="9"/>
  <c r="L161" i="9"/>
  <c r="R163" i="9"/>
  <c r="Q161" i="9"/>
  <c r="V166" i="9"/>
  <c r="P154" i="9"/>
  <c r="P152" i="9"/>
  <c r="T164" i="9"/>
  <c r="S151" i="9"/>
  <c r="G161" i="9"/>
  <c r="G154" i="9"/>
  <c r="K11" i="6"/>
  <c r="V11" i="6"/>
  <c r="T9" i="39"/>
  <c r="S9" i="39"/>
  <c r="Q9" i="39"/>
  <c r="V9" i="39" s="1"/>
  <c r="O9" i="39"/>
  <c r="U9" i="39" s="1"/>
  <c r="W12" i="6"/>
  <c r="F12" i="2"/>
  <c r="G12" i="2" s="1"/>
  <c r="J12" i="2" s="1"/>
  <c r="C12" i="2"/>
  <c r="D12" i="2" s="1"/>
  <c r="I12" i="2" s="1"/>
  <c r="F150" i="9" l="1"/>
  <c r="E13" i="20" s="1"/>
  <c r="C13" i="2"/>
  <c r="D13" i="2" s="1"/>
  <c r="I13" i="2" s="1"/>
  <c r="F13" i="2"/>
  <c r="G13" i="2" s="1"/>
  <c r="J13" i="2" s="1"/>
  <c r="W10" i="6"/>
  <c r="C10" i="2"/>
  <c r="D10" i="2" s="1"/>
  <c r="I10" i="2" s="1"/>
  <c r="E154" i="9"/>
  <c r="E166" i="9"/>
  <c r="AQ13" i="20"/>
  <c r="AQ3" i="20" s="1"/>
  <c r="P150" i="9"/>
  <c r="O13" i="20" s="1"/>
  <c r="O3" i="20" s="1"/>
  <c r="AO13" i="20"/>
  <c r="AO3" i="20" s="1"/>
  <c r="N150" i="9"/>
  <c r="M13" i="20" s="1"/>
  <c r="M3" i="20" s="1"/>
  <c r="C39" i="11"/>
  <c r="E44" i="11"/>
  <c r="AL13" i="20"/>
  <c r="AL3" i="20" s="1"/>
  <c r="K150" i="9"/>
  <c r="J13" i="20" s="1"/>
  <c r="J3" i="20" s="1"/>
  <c r="E155" i="9"/>
  <c r="E161" i="9"/>
  <c r="E163" i="9"/>
  <c r="E151" i="9"/>
  <c r="AG13" i="20"/>
  <c r="AH13" i="20"/>
  <c r="AH3" i="20" s="1"/>
  <c r="G150" i="9"/>
  <c r="F13" i="20" s="1"/>
  <c r="F3" i="20" s="1"/>
  <c r="J14" i="6"/>
  <c r="U150" i="9"/>
  <c r="T13" i="20" s="1"/>
  <c r="T3" i="20" s="1"/>
  <c r="AV13" i="20"/>
  <c r="AV3" i="20" s="1"/>
  <c r="AI13" i="20"/>
  <c r="AI3" i="20" s="1"/>
  <c r="H150" i="9"/>
  <c r="G13" i="20" s="1"/>
  <c r="G3" i="20" s="1"/>
  <c r="W11" i="6"/>
  <c r="F11" i="2"/>
  <c r="G11" i="2" s="1"/>
  <c r="J11" i="2" s="1"/>
  <c r="C11" i="2"/>
  <c r="D11" i="2" s="1"/>
  <c r="I11" i="2" s="1"/>
  <c r="Q150" i="9"/>
  <c r="P13" i="20" s="1"/>
  <c r="P3" i="20" s="1"/>
  <c r="AR13" i="20"/>
  <c r="AR3" i="20" s="1"/>
  <c r="J15" i="6"/>
  <c r="E153" i="9"/>
  <c r="E152" i="9"/>
  <c r="E165" i="9"/>
  <c r="AT13" i="20"/>
  <c r="AT3" i="20" s="1"/>
  <c r="S150" i="9"/>
  <c r="R13" i="20" s="1"/>
  <c r="R3" i="20" s="1"/>
  <c r="BA13" i="20"/>
  <c r="BA3" i="20" s="1"/>
  <c r="Z150" i="9"/>
  <c r="Y13" i="20" s="1"/>
  <c r="Y3" i="20" s="1"/>
  <c r="K14" i="6"/>
  <c r="K15" i="6"/>
  <c r="AM13" i="20"/>
  <c r="AM3" i="20" s="1"/>
  <c r="L150" i="9"/>
  <c r="K13" i="20" s="1"/>
  <c r="K3" i="20" s="1"/>
  <c r="AP13" i="20"/>
  <c r="AP3" i="20" s="1"/>
  <c r="O150" i="9"/>
  <c r="N13" i="20" s="1"/>
  <c r="N3" i="20" s="1"/>
  <c r="E156" i="9"/>
  <c r="AK13" i="20"/>
  <c r="AK3" i="20" s="1"/>
  <c r="J150" i="9"/>
  <c r="I13" i="20" s="1"/>
  <c r="I3" i="20" s="1"/>
  <c r="AN13" i="20"/>
  <c r="AN3" i="20" s="1"/>
  <c r="M150" i="9"/>
  <c r="L13" i="20" s="1"/>
  <c r="L3" i="20" s="1"/>
  <c r="X150" i="9"/>
  <c r="W13" i="20" s="1"/>
  <c r="W3" i="20" s="1"/>
  <c r="AY13" i="20"/>
  <c r="AY3" i="20" s="1"/>
  <c r="AU13" i="20"/>
  <c r="AU3" i="20" s="1"/>
  <c r="T150" i="9"/>
  <c r="S13" i="20" s="1"/>
  <c r="S3" i="20" s="1"/>
  <c r="E162" i="9"/>
  <c r="R150" i="9"/>
  <c r="Q13" i="20" s="1"/>
  <c r="Q3" i="20" s="1"/>
  <c r="AS13" i="20"/>
  <c r="AS3" i="20" s="1"/>
  <c r="AW13" i="20"/>
  <c r="AW3" i="20" s="1"/>
  <c r="V150" i="9"/>
  <c r="U13" i="20" s="1"/>
  <c r="U3" i="20" s="1"/>
  <c r="E164" i="9"/>
  <c r="AJ13" i="20"/>
  <c r="AJ3" i="20" s="1"/>
  <c r="I150" i="9"/>
  <c r="H13" i="20" s="1"/>
  <c r="H3" i="20" s="1"/>
  <c r="AZ13" i="20"/>
  <c r="AZ3" i="20" s="1"/>
  <c r="Y150" i="9"/>
  <c r="X13" i="20" s="1"/>
  <c r="X3" i="20" s="1"/>
  <c r="AX13" i="20"/>
  <c r="AX3" i="20" s="1"/>
  <c r="W150" i="9"/>
  <c r="V13" i="20" s="1"/>
  <c r="V3" i="20" s="1"/>
  <c r="I14" i="11" l="1"/>
  <c r="P9" i="6" s="1"/>
  <c r="E14" i="11"/>
  <c r="E43" i="11" s="1"/>
  <c r="F14" i="11"/>
  <c r="F43" i="11" s="1"/>
  <c r="C17" i="39"/>
  <c r="D13" i="20"/>
  <c r="E3" i="20"/>
  <c r="D3" i="20" s="1"/>
  <c r="H14" i="11"/>
  <c r="C15" i="39"/>
  <c r="E150" i="9"/>
  <c r="D14" i="11"/>
  <c r="AG3" i="20"/>
  <c r="AF3" i="20" s="1"/>
  <c r="AF13" i="20"/>
  <c r="G14" i="11"/>
  <c r="I15" i="11" l="1"/>
  <c r="F15" i="11"/>
  <c r="I43" i="11"/>
  <c r="P5" i="6"/>
  <c r="Q5" i="6" s="1"/>
  <c r="E15" i="11"/>
  <c r="P6" i="6"/>
  <c r="Q6" i="6" s="1"/>
  <c r="C22" i="39"/>
  <c r="H15" i="11"/>
  <c r="P8" i="6"/>
  <c r="H43" i="11"/>
  <c r="P4" i="6"/>
  <c r="D43" i="11"/>
  <c r="C14" i="11"/>
  <c r="D15" i="11"/>
  <c r="Q9" i="6"/>
  <c r="V9" i="6"/>
  <c r="G15" i="11"/>
  <c r="G43" i="11"/>
  <c r="P7" i="6"/>
  <c r="S17" i="39"/>
  <c r="T17" i="39"/>
  <c r="O17" i="39"/>
  <c r="U17" i="39" s="1"/>
  <c r="Q17" i="39"/>
  <c r="V17" i="39" s="1"/>
  <c r="C3" i="11" l="1"/>
  <c r="F3" i="11" s="1"/>
  <c r="V5" i="6"/>
  <c r="W5" i="6" s="1"/>
  <c r="V6" i="6"/>
  <c r="W6" i="6" s="1"/>
  <c r="C15" i="11"/>
  <c r="Q4" i="6"/>
  <c r="P14" i="6"/>
  <c r="P15" i="6"/>
  <c r="V4" i="6"/>
  <c r="V8" i="6"/>
  <c r="Q8" i="6"/>
  <c r="Q15" i="39"/>
  <c r="G22" i="39"/>
  <c r="T15" i="39"/>
  <c r="T22" i="39" s="1"/>
  <c r="O15" i="39"/>
  <c r="S15" i="39"/>
  <c r="S22" i="39" s="1"/>
  <c r="W9" i="6"/>
  <c r="F9" i="2"/>
  <c r="G9" i="2" s="1"/>
  <c r="J9" i="2" s="1"/>
  <c r="C9" i="2"/>
  <c r="D9" i="2" s="1"/>
  <c r="I9" i="2" s="1"/>
  <c r="C43" i="11"/>
  <c r="D44" i="11"/>
  <c r="C44" i="11" s="1"/>
  <c r="Q7" i="6"/>
  <c r="V7" i="6"/>
  <c r="C5" i="2" l="1"/>
  <c r="D5" i="2" s="1"/>
  <c r="I5" i="2" s="1"/>
  <c r="F5" i="2"/>
  <c r="G5" i="2" s="1"/>
  <c r="J5" i="2" s="1"/>
  <c r="C6" i="2"/>
  <c r="D6" i="2" s="1"/>
  <c r="I6" i="2" s="1"/>
  <c r="F6" i="2"/>
  <c r="G6" i="2" s="1"/>
  <c r="J6" i="2" s="1"/>
  <c r="V14" i="6"/>
  <c r="C4" i="2"/>
  <c r="V15" i="6"/>
  <c r="F4" i="2"/>
  <c r="W4" i="6"/>
  <c r="W8" i="6"/>
  <c r="C8" i="2"/>
  <c r="D8" i="2" s="1"/>
  <c r="I8" i="2" s="1"/>
  <c r="F8" i="2"/>
  <c r="G8" i="2" s="1"/>
  <c r="J8" i="2" s="1"/>
  <c r="Q22" i="39"/>
  <c r="V15" i="39"/>
  <c r="Q15" i="6"/>
  <c r="Q14" i="6"/>
  <c r="U15" i="39"/>
  <c r="O22" i="39"/>
  <c r="W7" i="6"/>
  <c r="F7" i="2"/>
  <c r="G7" i="2" s="1"/>
  <c r="J7" i="2" s="1"/>
  <c r="C7" i="2"/>
  <c r="D7" i="2" s="1"/>
  <c r="I7" i="2" s="1"/>
  <c r="J17" i="2" l="1"/>
  <c r="B2" i="7" s="1"/>
  <c r="W15" i="6"/>
  <c r="W14" i="6"/>
  <c r="C14" i="2"/>
  <c r="D4" i="2"/>
  <c r="F14" i="2"/>
  <c r="G4" i="2"/>
  <c r="J19" i="2" s="1"/>
  <c r="R7" i="7" l="1"/>
  <c r="C7" i="7"/>
  <c r="L7" i="7"/>
  <c r="I7" i="7"/>
  <c r="C26" i="7"/>
  <c r="O7" i="7"/>
  <c r="F7" i="7"/>
  <c r="C42" i="7"/>
  <c r="J4" i="2"/>
  <c r="G14" i="2"/>
  <c r="D14" i="2"/>
  <c r="I4" i="2"/>
  <c r="I14" i="2" s="1"/>
  <c r="J21" i="2" s="1"/>
  <c r="J18" i="2"/>
  <c r="K4" i="2" l="1"/>
  <c r="J14" i="2"/>
  <c r="J22" i="2" s="1"/>
  <c r="L4" i="2" l="1"/>
  <c r="K5" i="2"/>
  <c r="K6" i="2" s="1"/>
  <c r="K7" i="2" s="1"/>
  <c r="K8" i="2" s="1"/>
  <c r="K9" i="2" s="1"/>
  <c r="K10" i="2" s="1"/>
  <c r="K11" i="2" s="1"/>
  <c r="K12" i="2" s="1"/>
  <c r="K13" i="2" s="1"/>
  <c r="L5" i="2" l="1"/>
  <c r="L6" i="2" s="1"/>
  <c r="L7" i="2" s="1"/>
  <c r="L8" i="2" s="1"/>
  <c r="L9" i="2" s="1"/>
  <c r="L10" i="2" s="1"/>
  <c r="L11" i="2" s="1"/>
  <c r="L12" i="2" s="1"/>
  <c r="L13"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6" authorId="0" shapeId="0" xr:uid="{00000000-0006-0000-0000-000001000000}">
      <text>
        <r>
          <rPr>
            <b/>
            <sz val="9"/>
            <color rgb="FF000000"/>
            <rFont val="Segoe UI"/>
            <family val="2"/>
            <charset val="1"/>
          </rPr>
          <t>Author:</t>
        </r>
        <r>
          <rPr>
            <sz val="9"/>
            <color rgb="FF000000"/>
            <rFont val="Segoe UI"/>
            <family val="2"/>
            <charset val="1"/>
          </rPr>
          <t xml:space="preserve">
Je potrebné vyplniť žlté polia a identifikovať tak projekt a vlastníka projektu</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M1" authorId="0" shapeId="0" xr:uid="{F760542C-A81C-41E9-AFF9-CF460AA5C976}">
      <text>
        <r>
          <rPr>
            <b/>
            <sz val="9"/>
            <color indexed="81"/>
            <rFont val="Tahoma"/>
            <charset val="1"/>
          </rPr>
          <t>Author:</t>
        </r>
        <r>
          <rPr>
            <sz val="9"/>
            <color indexed="81"/>
            <rFont val="Tahoma"/>
            <charset val="1"/>
          </rPr>
          <t xml:space="preserve">
Celková suma bez DPH</t>
        </r>
      </text>
    </comment>
    <comment ref="N1" authorId="0" shapeId="0" xr:uid="{5C9AF122-F2ED-4F5B-BE6E-D1275EBB5E36}">
      <text>
        <r>
          <rPr>
            <b/>
            <sz val="9"/>
            <color indexed="81"/>
            <rFont val="Tahoma"/>
            <charset val="1"/>
          </rPr>
          <t>Author:</t>
        </r>
        <r>
          <rPr>
            <sz val="9"/>
            <color indexed="81"/>
            <rFont val="Tahoma"/>
            <charset val="1"/>
          </rPr>
          <t xml:space="preserve">
Celková suma s DPH</t>
        </r>
      </text>
    </comment>
    <comment ref="O1" authorId="0" shapeId="0" xr:uid="{FE07168A-8842-488A-952B-DC74BC0080AA}">
      <text>
        <r>
          <rPr>
            <b/>
            <sz val="9"/>
            <color indexed="81"/>
            <rFont val="Tahoma"/>
            <charset val="1"/>
          </rPr>
          <t>Author:</t>
        </r>
        <r>
          <rPr>
            <sz val="9"/>
            <color indexed="81"/>
            <rFont val="Tahoma"/>
            <charset val="1"/>
          </rPr>
          <t xml:space="preserve">
DPH
</t>
        </r>
      </text>
    </comment>
    <comment ref="A3" authorId="0" shapeId="0" xr:uid="{00000000-0006-0000-0F00-000001000000}">
      <text>
        <r>
          <rPr>
            <b/>
            <sz val="9"/>
            <color indexed="81"/>
            <rFont val="Segoe UI"/>
            <family val="2"/>
          </rPr>
          <t>Author:</t>
        </r>
        <r>
          <rPr>
            <sz val="9"/>
            <color indexed="81"/>
            <rFont val="Segoe UI"/>
            <family val="2"/>
          </rPr>
          <t xml:space="preserve">
V tejto záložke je potrebné transformvoať odhadovnú prácnosť projektu na jednotlivé faýzy projektu:
 - analýza a dizajn
 - implementácia
 - testovanie
 - nasadenie
Rovnako je potrebné definovať pozície, ktoré sa na projekte budú podieľať.
Počty MDs pre dané pozície sú vypočítané z celkovej predpokladanej náročnosti projektu * % podielu danej fázy na projekte * % podiel pozácie na danej fáze projektu</t>
        </r>
      </text>
    </comment>
    <comment ref="B3" authorId="0" shapeId="0" xr:uid="{00000000-0006-0000-0F00-000002000000}">
      <text>
        <r>
          <rPr>
            <b/>
            <sz val="9"/>
            <color indexed="81"/>
            <rFont val="Segoe UI"/>
            <family val="2"/>
          </rPr>
          <t>Author:</t>
        </r>
        <r>
          <rPr>
            <sz val="9"/>
            <color indexed="81"/>
            <rFont val="Segoe UI"/>
            <family val="2"/>
          </rPr>
          <t xml:space="preserve">
Možné zadať % hodnoty pre danú fázu projektu vyjadrené v % z celkového počtu potrebných kapacít
Celková hodnota za všetky fázy projektu musí byť 100%. V opačnom prípade budú hodnoty zvýrazené červenou</t>
        </r>
      </text>
    </comment>
    <comment ref="E3" authorId="0" shapeId="0" xr:uid="{00000000-0006-0000-0F00-000003000000}">
      <text>
        <r>
          <rPr>
            <b/>
            <sz val="9"/>
            <color indexed="81"/>
            <rFont val="Segoe UI"/>
            <family val="2"/>
          </rPr>
          <t>Author:</t>
        </r>
        <r>
          <rPr>
            <sz val="9"/>
            <color indexed="81"/>
            <rFont val="Segoe UI"/>
            <family val="2"/>
          </rPr>
          <t xml:space="preserve">
Priemerná vážená sadzba je potrebná pre rozdelenie nákladov v záložke Rozpoct - Vyvoje aplikacie</t>
        </r>
      </text>
    </comment>
    <comment ref="F3" authorId="0" shapeId="0" xr:uid="{00000000-0006-0000-0F00-000004000000}">
      <text>
        <r>
          <rPr>
            <b/>
            <sz val="9"/>
            <color indexed="81"/>
            <rFont val="Segoe UI"/>
            <family val="2"/>
          </rPr>
          <t>Author:</t>
        </r>
        <r>
          <rPr>
            <sz val="9"/>
            <color indexed="81"/>
            <rFont val="Segoe UI"/>
            <family val="2"/>
          </rPr>
          <t xml:space="preserve">
Je potrebné vybrať pozície, ktoré sa na danej aktivite budú podieľať. Výber je z preddefinovaného číselníka pozícií.</t>
        </r>
      </text>
    </comment>
    <comment ref="J3" authorId="0" shapeId="0" xr:uid="{00000000-0006-0000-0F00-000005000000}">
      <text>
        <r>
          <rPr>
            <b/>
            <sz val="9"/>
            <color indexed="81"/>
            <rFont val="Segoe UI"/>
            <family val="2"/>
          </rPr>
          <t>Author:</t>
        </r>
        <r>
          <rPr>
            <sz val="9"/>
            <color indexed="81"/>
            <rFont val="Segoe UI"/>
            <family val="2"/>
          </rPr>
          <t xml:space="preserve">
Je potrebné stanoviť %, ktorým bude participovať daná pozícia na aktivite. Suma % za všetky pozície na danej aktivite musí byť 100%.
V opačnom prípade budú hodnoty označené červenou farbou</t>
        </r>
      </text>
    </comment>
    <comment ref="Q3" authorId="0" shapeId="0" xr:uid="{00000000-0006-0000-0F00-000006000000}">
      <text>
        <r>
          <rPr>
            <b/>
            <sz val="9"/>
            <color rgb="FF000000"/>
            <rFont val="Segoe UI"/>
            <family val="2"/>
            <charset val="1"/>
          </rPr>
          <t>Author:</t>
        </r>
        <r>
          <rPr>
            <sz val="9"/>
            <color rgb="FF000000"/>
            <rFont val="Segoe UI"/>
            <family val="2"/>
            <charset val="1"/>
          </rPr>
          <t xml:space="preserve">
Číselník pozícií vychádza z metodickej príručky o operačnému programu Integrovaná infraštrutkúra</t>
        </r>
      </text>
    </comment>
    <comment ref="R3" authorId="0" shapeId="0" xr:uid="{00000000-0006-0000-0F00-000007000000}">
      <text>
        <r>
          <rPr>
            <b/>
            <sz val="9"/>
            <color rgb="FF000000"/>
            <rFont val="Segoe UI"/>
            <family val="2"/>
            <charset val="1"/>
          </rPr>
          <t>Author:</t>
        </r>
        <r>
          <rPr>
            <sz val="9"/>
            <color rgb="FF000000"/>
            <rFont val="Segoe UI"/>
            <family val="2"/>
            <charset val="1"/>
          </rPr>
          <t xml:space="preserve">
Je potrebné stanoviť predpokladanú hodnotu sadzby pre danú pozíciu. Hodnota nesmie prekročiť hranicu stanovanú metodickou príručkou. 
Zároveň by mala byť aj pod hranicou sadzby, ktorá vyplýva z revízie výdavkou pre niektoré pozície. V opačnom prípade je zvýrazená oranžovou farbou.</t>
        </r>
      </text>
    </comment>
    <comment ref="W3" authorId="0" shapeId="0" xr:uid="{00000000-0006-0000-0F00-000008000000}">
      <text>
        <r>
          <rPr>
            <b/>
            <sz val="9"/>
            <color indexed="81"/>
            <rFont val="Segoe UI"/>
            <family val="2"/>
          </rPr>
          <t>Author:</t>
        </r>
        <r>
          <rPr>
            <sz val="9"/>
            <color indexed="81"/>
            <rFont val="Segoe UI"/>
            <family val="2"/>
          </rPr>
          <t xml:space="preserve">
V tajto časti možno vidieť podiel pozície na celkovm počte MDs pre daný projekt. 
V prípade, ak je hodnota vyššia ako hodnota satanovená príručkou je tejto fakt zvýrazený ako NAD.
V opačnom prípade, je súlad označný ako OK.</t>
        </r>
      </text>
    </comment>
    <comment ref="B4" authorId="0" shapeId="0" xr:uid="{00000000-0006-0000-0F00-000009000000}">
      <text>
        <r>
          <rPr>
            <b/>
            <sz val="9"/>
            <color indexed="81"/>
            <rFont val="Segoe UI"/>
            <family val="2"/>
          </rPr>
          <t>Author:</t>
        </r>
        <r>
          <rPr>
            <sz val="9"/>
            <color indexed="81"/>
            <rFont val="Segoe UI"/>
            <family val="2"/>
          </rPr>
          <t xml:space="preserve">
10% - 35%</t>
        </r>
      </text>
    </comment>
    <comment ref="B16" authorId="0" shapeId="0" xr:uid="{00000000-0006-0000-0F00-00000A000000}">
      <text>
        <r>
          <rPr>
            <b/>
            <sz val="9"/>
            <color rgb="FF000000"/>
            <rFont val="Segoe UI"/>
            <family val="2"/>
            <charset val="1"/>
          </rPr>
          <t>Author:</t>
        </r>
        <r>
          <rPr>
            <sz val="9"/>
            <color rgb="FF000000"/>
            <rFont val="Segoe UI"/>
            <family val="2"/>
            <charset val="1"/>
          </rPr>
          <t xml:space="preserve">
30% - 80%</t>
        </r>
      </text>
    </comment>
    <comment ref="B28" authorId="0" shapeId="0" xr:uid="{00000000-0006-0000-0F00-00000B000000}">
      <text>
        <r>
          <rPr>
            <b/>
            <sz val="9"/>
            <color indexed="81"/>
            <rFont val="Segoe UI"/>
            <family val="2"/>
          </rPr>
          <t>Author:</t>
        </r>
        <r>
          <rPr>
            <sz val="9"/>
            <color indexed="81"/>
            <rFont val="Segoe UI"/>
            <family val="2"/>
          </rPr>
          <t xml:space="preserve">
15% - 30%</t>
        </r>
      </text>
    </comment>
    <comment ref="B40" authorId="0" shapeId="0" xr:uid="{00000000-0006-0000-0F00-00000C000000}">
      <text>
        <r>
          <rPr>
            <b/>
            <sz val="9"/>
            <color indexed="81"/>
            <rFont val="Segoe UI"/>
            <family val="2"/>
          </rPr>
          <t>Author:</t>
        </r>
        <r>
          <rPr>
            <sz val="9"/>
            <color indexed="81"/>
            <rFont val="Segoe UI"/>
            <family val="2"/>
          </rPr>
          <t xml:space="preserve">
Je potrebné stanoviť dĺžku trvania danej fázy projektu, pričom následne sa táto hodnota využije na definovanie počtu MDs pre danú pozíciu na aktivite.</t>
        </r>
      </text>
    </comment>
    <comment ref="F40" authorId="0" shapeId="0" xr:uid="{00000000-0006-0000-0F00-00000D000000}">
      <text>
        <r>
          <rPr>
            <b/>
            <sz val="9"/>
            <color indexed="81"/>
            <rFont val="Segoe UI"/>
            <family val="2"/>
          </rPr>
          <t>Author:</t>
        </r>
        <r>
          <rPr>
            <sz val="9"/>
            <color indexed="81"/>
            <rFont val="Segoe UI"/>
            <family val="2"/>
          </rPr>
          <t xml:space="preserve">
Je potrebné vybrať pozície, ktoré sa na danej aktivite budú podieľať. Výber je z preddefinovaného číselníka pozícií.</t>
        </r>
      </text>
    </comment>
    <comment ref="J40" authorId="0" shapeId="0" xr:uid="{00000000-0006-0000-0F00-00000E000000}">
      <text>
        <r>
          <rPr>
            <b/>
            <sz val="9"/>
            <color indexed="81"/>
            <rFont val="Segoe UI"/>
            <family val="2"/>
          </rPr>
          <t>Author:</t>
        </r>
        <r>
          <rPr>
            <sz val="9"/>
            <color indexed="81"/>
            <rFont val="Segoe UI"/>
            <family val="2"/>
          </rPr>
          <t xml:space="preserve">
Jedná sa o stanovenie alokácie danej pozície na aktivite vyjadrenej FTE (full time equvivalent)
Ak požadujem napr.:
 - 1 PM IT projektu aby sa venoval riadeniu na 50%, tak v bunke sa uvedie hodnota 0,5.
 - 2 Finančnych manažérov, pričom jeden bude FULL TIME a druhy na 50%, počas trvania aktivity, uvedie sa hodnota 1,5 
a pod.</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1" authorId="0" shapeId="0" xr:uid="{00000000-0006-0000-1000-000001000000}">
      <text>
        <r>
          <rPr>
            <b/>
            <sz val="9"/>
            <color indexed="81"/>
            <rFont val="Segoe UI"/>
            <family val="2"/>
          </rPr>
          <t>Author:</t>
        </r>
        <r>
          <rPr>
            <sz val="9"/>
            <color indexed="81"/>
            <rFont val="Segoe UI"/>
            <family val="2"/>
          </rPr>
          <t xml:space="preserve">
Potrebne urcit hodnotu odvodoveho koeficienta - napr. 0,3495, alebo 0,352 podla typu zamestnaneckeho pomeru</t>
        </r>
      </text>
    </comment>
    <comment ref="Q2" authorId="0" shapeId="0" xr:uid="{00000000-0006-0000-1000-000002000000}">
      <text>
        <r>
          <rPr>
            <b/>
            <sz val="9"/>
            <color rgb="FF000000"/>
            <rFont val="Segoe UI"/>
            <family val="2"/>
            <charset val="1"/>
          </rPr>
          <t>Author:</t>
        </r>
        <r>
          <rPr>
            <sz val="9"/>
            <color rgb="FF000000"/>
            <rFont val="Segoe UI"/>
            <family val="2"/>
            <charset val="1"/>
          </rPr>
          <t xml:space="preserve">
Je možné stanoviť % odmeny z hrubej mzdy.
V prépade projektov z OP II je maximálna sadzba 20%</t>
        </r>
      </text>
    </comment>
    <comment ref="A3" authorId="0" shapeId="0" xr:uid="{00000000-0006-0000-1000-000003000000}">
      <text>
        <r>
          <rPr>
            <b/>
            <sz val="9"/>
            <color indexed="81"/>
            <rFont val="Segoe UI"/>
            <family val="2"/>
          </rPr>
          <t>Author:</t>
        </r>
        <r>
          <rPr>
            <sz val="9"/>
            <color indexed="81"/>
            <rFont val="Segoe UI"/>
            <family val="2"/>
          </rPr>
          <t xml:space="preserve">
V tejto záložke má možnosť klient naplánovať interné zdroje na projekt, pričom sa jedná o pridelenie pozícií k danej fáze projektu a stanovenie ich utilizácie na danej aktivite.</t>
        </r>
      </text>
    </comment>
    <comment ref="B3" authorId="0" shapeId="0" xr:uid="{00000000-0006-0000-1000-000004000000}">
      <text>
        <r>
          <rPr>
            <b/>
            <sz val="9"/>
            <color rgb="FF000000"/>
            <rFont val="Segoe UI"/>
            <family val="2"/>
            <charset val="1"/>
          </rPr>
          <t>Author:</t>
        </r>
        <r>
          <rPr>
            <sz val="9"/>
            <color rgb="FF000000"/>
            <rFont val="Segoe UI"/>
            <family val="2"/>
            <charset val="1"/>
          </rPr>
          <t xml:space="preserve">
Je potrebné stanoviť dĺžku trvania danej fázy projektu, pričom následne sa táto hodnota využije na definovanie počtu MDs pre danú pozíciu na aktivite.</t>
        </r>
      </text>
    </comment>
    <comment ref="C3" authorId="0" shapeId="0" xr:uid="{00000000-0006-0000-1000-000005000000}">
      <text>
        <r>
          <rPr>
            <b/>
            <sz val="9"/>
            <color rgb="FF000000"/>
            <rFont val="Segoe UI"/>
            <family val="2"/>
            <charset val="1"/>
          </rPr>
          <t>Author:</t>
        </r>
        <r>
          <rPr>
            <sz val="9"/>
            <color rgb="FF000000"/>
            <rFont val="Segoe UI"/>
            <family val="2"/>
            <charset val="1"/>
          </rPr>
          <t xml:space="preserve">
Ide o sumár počtu MDs pre danú aktivitu za všetky pozície</t>
        </r>
      </text>
    </comment>
    <comment ref="D3" authorId="0" shapeId="0" xr:uid="{00000000-0006-0000-1000-000006000000}">
      <text>
        <r>
          <rPr>
            <b/>
            <sz val="9"/>
            <color rgb="FF000000"/>
            <rFont val="Segoe UI"/>
            <family val="2"/>
            <charset val="1"/>
          </rPr>
          <t>Author:</t>
        </r>
        <r>
          <rPr>
            <sz val="9"/>
            <color rgb="FF000000"/>
            <rFont val="Segoe UI"/>
            <family val="2"/>
            <charset val="1"/>
          </rPr>
          <t xml:space="preserve">
Táto hodnota sa použie na rozloženie nákladov na moduly v záložke Rozpočet - vyvoj aplikácie</t>
        </r>
      </text>
    </comment>
    <comment ref="E3" authorId="0" shapeId="0" xr:uid="{00000000-0006-0000-1000-000007000000}">
      <text>
        <r>
          <rPr>
            <b/>
            <sz val="9"/>
            <color rgb="FF000000"/>
            <rFont val="Segoe UI"/>
            <family val="2"/>
            <charset val="1"/>
          </rPr>
          <t>Author:</t>
        </r>
        <r>
          <rPr>
            <sz val="9"/>
            <color rgb="FF000000"/>
            <rFont val="Segoe UI"/>
            <family val="2"/>
            <charset val="1"/>
          </rPr>
          <t xml:space="preserve">
Je potrebné vybrať pozície, ktoré sa na danej aktivite budú podieľať. Výber je z preddefinovaného číselníka pozícií, ktorý je možné dopĺňať podľa potreby o pozície, ktoré nie sú štandardizovane pomenované.</t>
        </r>
      </text>
    </comment>
    <comment ref="F3" authorId="0" shapeId="0" xr:uid="{00000000-0006-0000-1000-000008000000}">
      <text>
        <r>
          <rPr>
            <b/>
            <sz val="9"/>
            <color rgb="FF000000"/>
            <rFont val="Segoe UI"/>
            <family val="2"/>
            <charset val="1"/>
          </rPr>
          <t>Author:</t>
        </r>
        <r>
          <rPr>
            <sz val="9"/>
            <color rgb="FF000000"/>
            <rFont val="Segoe UI"/>
            <family val="2"/>
            <charset val="1"/>
          </rPr>
          <t xml:space="preserve">
Jedná sa o stanovenie alokácie danej pozície na aktivite vyjadrenej v honote % z jej 100% pravocnej náplne.
Ak mám napr. IT architekta a chcem aby sa podieľal na analýze svojimi 30 % tak uvedená hodnota bude 30%</t>
        </r>
      </text>
    </comment>
    <comment ref="G3" authorId="0" shapeId="0" xr:uid="{00000000-0006-0000-1000-000009000000}">
      <text>
        <r>
          <rPr>
            <b/>
            <sz val="9"/>
            <color indexed="81"/>
            <rFont val="Segoe UI"/>
            <family val="2"/>
          </rPr>
          <t>Author:</t>
        </r>
        <r>
          <rPr>
            <sz val="9"/>
            <color indexed="81"/>
            <rFont val="Segoe UI"/>
            <family val="2"/>
          </rPr>
          <t xml:space="preserve">
Jedná sa o počet MDs danej pozície na aktivite, vypočítanej ako počet pozícií * trvanie aktivity * % utilizácie na projekte * 20 dní v mesiaci</t>
        </r>
      </text>
    </comment>
    <comment ref="M3" authorId="0" shapeId="0" xr:uid="{00000000-0006-0000-1000-00000A000000}">
      <text>
        <r>
          <rPr>
            <b/>
            <sz val="9"/>
            <color indexed="81"/>
            <rFont val="Segoe UI"/>
            <family val="2"/>
          </rPr>
          <t>Author:</t>
        </r>
        <r>
          <rPr>
            <sz val="9"/>
            <color indexed="81"/>
            <rFont val="Segoe UI"/>
            <family val="2"/>
          </rPr>
          <t xml:space="preserve">
edná sa o preddefinovaný číselník pozícií, ktorý je možné doplniť v prípade potreby o špecifické pozície</t>
        </r>
      </text>
    </comment>
    <comment ref="O3" authorId="0" shapeId="0" xr:uid="{00000000-0006-0000-1000-00000B000000}">
      <text>
        <r>
          <rPr>
            <b/>
            <sz val="9"/>
            <color indexed="81"/>
            <rFont val="Segoe UI"/>
            <family val="2"/>
          </rPr>
          <t>Author:</t>
        </r>
        <r>
          <rPr>
            <sz val="9"/>
            <color indexed="81"/>
            <rFont val="Segoe UI"/>
            <family val="2"/>
          </rPr>
          <t xml:space="preserve">
Jedná sa o stanovenie početu pozícii, ktoré na projekte budú participovať. Napr. budeme mať 2 Analytikov a 1 IT Architekta</t>
        </r>
      </text>
    </comment>
    <comment ref="P3" authorId="0" shapeId="0" xr:uid="{00000000-0006-0000-1000-00000C000000}">
      <text>
        <r>
          <rPr>
            <b/>
            <sz val="9"/>
            <color indexed="81"/>
            <rFont val="Segoe UI"/>
            <family val="2"/>
          </rPr>
          <t>Author:</t>
        </r>
        <r>
          <rPr>
            <sz val="9"/>
            <color indexed="81"/>
            <rFont val="Segoe UI"/>
            <family val="2"/>
          </rPr>
          <t xml:space="preserve">
Jedná sa o stanovenie osobných hodinových nákladov na danú pozíciu. Teda o tzv. suberhrubú mzdu, ktorá zohľadňuje aj náklady na strane zamestanávateľa.
Hodnota by nemala vybočovať so štandardizovaných osobných nákladov v danej organizácií pre obdobené pozície. 
Rovnako by nemala presiahnúť stanovené limity v zmysle metodickej príručky, ak sa jedná o OPII projekty.</t>
        </r>
      </text>
    </comment>
    <comment ref="U3" authorId="0" shapeId="0" xr:uid="{00000000-0006-0000-1000-00000D000000}">
      <text>
        <r>
          <rPr>
            <b/>
            <sz val="9"/>
            <color indexed="81"/>
            <rFont val="Segoe UI"/>
            <family val="2"/>
          </rPr>
          <t>Author:</t>
        </r>
        <r>
          <rPr>
            <sz val="9"/>
            <color indexed="81"/>
            <rFont val="Segoe UI"/>
            <family val="2"/>
          </rPr>
          <t xml:space="preserve">
Jedná sa o maximálnu možnú sadzbu v zmysle príručky pre žiadateľov OP II, ktorá je nasledovná:
 - hlavné aktivity
     - junior - 15€/hodina - hrubá mzda
     - senior - 25€/hodina - hrubá mzda
 - podporne aktivity - max 15 €/hodina - hrubá mzda</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2" authorId="0" shapeId="0" xr:uid="{00000000-0006-0000-1100-000001000000}">
      <text>
        <r>
          <rPr>
            <b/>
            <sz val="9"/>
            <color indexed="81"/>
            <rFont val="Segoe UI"/>
            <family val="2"/>
          </rPr>
          <t>Author:</t>
        </r>
        <r>
          <rPr>
            <sz val="9"/>
            <color indexed="81"/>
            <rFont val="Segoe UI"/>
            <family val="2"/>
          </rPr>
          <t xml:space="preserve">
Je potrebné vybrať modul, pre ktorý boli definované náklady na vývoj aplikácie. 
Každý modul je potrebné priradiť ku všetkým 4 aktivitám projektu. 
Následne budú všetky nákaldy na moduly prepočítané ako pre:
 - interné zdroje - cez váhu nákladov modulov na celkových odhadovanýych nákladoch vývoja aplikácií
 - externé zdroje - rovnako cez váhu modulov na projekte</t>
        </r>
      </text>
    </comment>
    <comment ref="D2" authorId="0" shapeId="0" xr:uid="{00000000-0006-0000-1100-000002000000}">
      <text>
        <r>
          <rPr>
            <b/>
            <sz val="9"/>
            <color indexed="81"/>
            <rFont val="Segoe UI"/>
            <family val="2"/>
          </rPr>
          <t>Author:</t>
        </r>
        <r>
          <rPr>
            <sz val="9"/>
            <color indexed="81"/>
            <rFont val="Segoe UI"/>
            <family val="2"/>
          </rPr>
          <t xml:space="preserve">
V prípade potreby možno doplniť detailizáciu pre daný modul a danú aktivitu</t>
        </r>
      </text>
    </comment>
    <comment ref="K2" authorId="0" shapeId="0" xr:uid="{00000000-0006-0000-1100-000003000000}">
      <text>
        <r>
          <rPr>
            <b/>
            <sz val="9"/>
            <color indexed="81"/>
            <rFont val="Segoe UI"/>
            <family val="2"/>
          </rPr>
          <t>Author:</t>
        </r>
        <r>
          <rPr>
            <sz val="9"/>
            <color indexed="81"/>
            <rFont val="Segoe UI"/>
            <family val="2"/>
          </rPr>
          <t xml:space="preserve">
Náklady sú následne transformované do záložky TCO TO BE - SW do časti vývoj aplikácií</t>
        </r>
      </text>
    </comment>
    <comment ref="L2" authorId="0" shapeId="0" xr:uid="{00000000-0006-0000-1100-000004000000}">
      <text>
        <r>
          <rPr>
            <b/>
            <sz val="9"/>
            <color indexed="81"/>
            <rFont val="Segoe UI"/>
            <family val="2"/>
          </rPr>
          <t>Author:</t>
        </r>
        <r>
          <rPr>
            <sz val="9"/>
            <color indexed="81"/>
            <rFont val="Segoe UI"/>
            <family val="2"/>
          </rPr>
          <t xml:space="preserve">
V prípade potreby je možné doplniť potrebné poznámky</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2" authorId="0" shapeId="0" xr:uid="{00000000-0006-0000-1300-000001000000}">
      <text>
        <r>
          <rPr>
            <b/>
            <sz val="9"/>
            <color indexed="81"/>
            <rFont val="Segoe UI"/>
            <family val="2"/>
          </rPr>
          <t>Author:</t>
        </r>
        <r>
          <rPr>
            <sz val="9"/>
            <color indexed="81"/>
            <rFont val="Segoe UI"/>
            <family val="2"/>
          </rPr>
          <t xml:space="preserve">
Pre každú zadefinovanú položku je potrebné stanoviť aj modul, pre ktorý je daná položka plánovaná.</t>
        </r>
      </text>
    </comment>
    <comment ref="B2" authorId="0" shapeId="0" xr:uid="{00000000-0006-0000-1300-000002000000}">
      <text>
        <r>
          <rPr>
            <b/>
            <sz val="9"/>
            <color indexed="81"/>
            <rFont val="Segoe UI"/>
            <family val="2"/>
          </rPr>
          <t>Author:</t>
        </r>
        <r>
          <rPr>
            <sz val="9"/>
            <color indexed="81"/>
            <rFont val="Segoe UI"/>
            <family val="2"/>
          </rPr>
          <t xml:space="preserve">
Potrebné pomenovať položku, ktorá bude predmetom dodávky</t>
        </r>
      </text>
    </comment>
    <comment ref="C2" authorId="0" shapeId="0" xr:uid="{00000000-0006-0000-1300-000003000000}">
      <text>
        <r>
          <rPr>
            <b/>
            <sz val="9"/>
            <color indexed="81"/>
            <rFont val="Segoe UI"/>
            <family val="2"/>
          </rPr>
          <t>Author:</t>
        </r>
        <r>
          <rPr>
            <sz val="9"/>
            <color indexed="81"/>
            <rFont val="Segoe UI"/>
            <family val="2"/>
          </rPr>
          <t xml:space="preserve">
Je potrebné vybrať z nasledovných možností, aby sa dali náklady transformovať následne do príslušných zošitov:
 - HW - TCO TO BE - HW
 - SW pre HW - TCO TO BE - HW
 - SW - TCO TO BE - SW</t>
        </r>
      </text>
    </comment>
    <comment ref="D2" authorId="0" shapeId="0" xr:uid="{00000000-0006-0000-1300-000004000000}">
      <text>
        <r>
          <rPr>
            <b/>
            <sz val="9"/>
            <color indexed="81"/>
            <rFont val="Segoe UI"/>
            <family val="2"/>
          </rPr>
          <t>Author:</t>
        </r>
        <r>
          <rPr>
            <sz val="9"/>
            <color indexed="81"/>
            <rFont val="Segoe UI"/>
            <family val="2"/>
          </rPr>
          <t xml:space="preserve">
Účtovná položka slúži na správne zaradenie nákladov podľa účtových položiek to TCO TO BE - SW alebo TCO TO BE - HW.
Pre TCO TO BE - HW použite položky 022 a 112
Pre TCO TO BE - SW použitie položku 013</t>
        </r>
      </text>
    </comment>
    <comment ref="E2" authorId="0" shapeId="0" xr:uid="{00000000-0006-0000-1300-000005000000}">
      <text>
        <r>
          <rPr>
            <b/>
            <sz val="9"/>
            <color indexed="81"/>
            <rFont val="Segoe UI"/>
            <family val="2"/>
          </rPr>
          <t>Author:</t>
        </r>
        <r>
          <rPr>
            <sz val="9"/>
            <color indexed="81"/>
            <rFont val="Segoe UI"/>
            <family val="2"/>
          </rPr>
          <t xml:space="preserve">
Predstavuje mernú jednotku pre danú položku - väčšinou sa jedná o takú jednotku na ktorú je viazaná cenotvorba</t>
        </r>
      </text>
    </comment>
    <comment ref="F2" authorId="0" shapeId="0" xr:uid="{00000000-0006-0000-1300-000006000000}">
      <text>
        <r>
          <rPr>
            <b/>
            <sz val="9"/>
            <color indexed="81"/>
            <rFont val="Segoe UI"/>
            <family val="2"/>
          </rPr>
          <t>Author:</t>
        </r>
        <r>
          <rPr>
            <sz val="9"/>
            <color indexed="81"/>
            <rFont val="Segoe UI"/>
            <family val="2"/>
          </rPr>
          <t xml:space="preserve">
Stanovíte počet jednotiek danej položky</t>
        </r>
      </text>
    </comment>
    <comment ref="G2" authorId="0" shapeId="0" xr:uid="{00000000-0006-0000-1300-000007000000}">
      <text>
        <r>
          <rPr>
            <b/>
            <sz val="9"/>
            <color indexed="81"/>
            <rFont val="Segoe UI"/>
            <family val="2"/>
          </rPr>
          <t>Author:</t>
        </r>
        <r>
          <rPr>
            <sz val="9"/>
            <color indexed="81"/>
            <rFont val="Segoe UI"/>
            <family val="2"/>
          </rPr>
          <t xml:space="preserve">
Predstavuje rok, v ktorom by mali byť položky dodané. 
Na základe stanoveného roku sa naplánujú aj predmetné náklady do daného roku.
Jedná sa o stanovenie císelnej hodnoty od 1 - 10, ktora predstavuje rok trvania projektu v ktoriom sa doda predmetná položka - viď. metodika</t>
        </r>
      </text>
    </comment>
    <comment ref="H2" authorId="0" shapeId="0" xr:uid="{00000000-0006-0000-1300-000008000000}">
      <text>
        <r>
          <rPr>
            <b/>
            <sz val="9"/>
            <color indexed="81"/>
            <rFont val="Segoe UI"/>
            <family val="2"/>
          </rPr>
          <t>Author:</t>
        </r>
        <r>
          <rPr>
            <sz val="9"/>
            <color indexed="81"/>
            <rFont val="Segoe UI"/>
            <family val="2"/>
          </rPr>
          <t xml:space="preserve">
Jedná sa o stanovenie jednotkovej ceny danej položky, ktorá vstupuje do celkových nákladov danej položky</t>
        </r>
      </text>
    </comment>
    <comment ref="J2" authorId="0" shapeId="0" xr:uid="{00000000-0006-0000-1300-000009000000}">
      <text>
        <r>
          <rPr>
            <b/>
            <sz val="9"/>
            <color indexed="81"/>
            <rFont val="Segoe UI"/>
            <family val="2"/>
          </rPr>
          <t>Author:</t>
        </r>
        <r>
          <rPr>
            <sz val="9"/>
            <color indexed="81"/>
            <rFont val="Segoe UI"/>
            <family val="2"/>
          </rPr>
          <t xml:space="preserve">
Je potrebné jasne stanoviť z akého zdroja boli ceny prebraté. Väčšinou sa jedná či už o existujúce zmluvy alebo o prieskum trhu alebo o cenníkové ceny potenciálneho dodávateľa a pod.</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2" authorId="0" shapeId="0" xr:uid="{00000000-0006-0000-1400-000001000000}">
      <text>
        <r>
          <rPr>
            <b/>
            <sz val="9"/>
            <color indexed="81"/>
            <rFont val="Segoe UI"/>
            <family val="2"/>
          </rPr>
          <t>Author:</t>
        </r>
        <r>
          <rPr>
            <sz val="9"/>
            <color indexed="81"/>
            <rFont val="Segoe UI"/>
            <family val="2"/>
          </rPr>
          <t xml:space="preserve">
Táto záložka slúži na vytvorenie relatívne rýchleho harmonogramu projektu cez mesiace trvania aktivít a jeho ganttovej podoby.
V prvom momente je potrebné vybrať moduly pre ktoré sa harmonogram tvorí.</t>
        </r>
      </text>
    </comment>
    <comment ref="D2" authorId="0" shapeId="0" xr:uid="{00000000-0006-0000-1400-000002000000}">
      <text>
        <r>
          <rPr>
            <b/>
            <sz val="9"/>
            <color indexed="81"/>
            <rFont val="Segoe UI"/>
            <family val="2"/>
          </rPr>
          <t>Author:</t>
        </r>
        <r>
          <rPr>
            <sz val="9"/>
            <color indexed="81"/>
            <rFont val="Segoe UI"/>
            <family val="2"/>
          </rPr>
          <t xml:space="preserve">
Po výbere modulu sa dotiahne príslušný inkrement, v ktorom má byť modul dodaný aj s dátumom začiatku a konca daného inkrementu.</t>
        </r>
      </text>
    </comment>
    <comment ref="G2" authorId="0" shapeId="0" xr:uid="{00000000-0006-0000-1400-000003000000}">
      <text>
        <r>
          <rPr>
            <b/>
            <sz val="9"/>
            <color indexed="81"/>
            <rFont val="Segoe UI"/>
            <family val="2"/>
          </rPr>
          <t>Author:</t>
        </r>
        <r>
          <rPr>
            <sz val="9"/>
            <color indexed="81"/>
            <rFont val="Segoe UI"/>
            <family val="2"/>
          </rPr>
          <t xml:space="preserve">
Pre každý inkrement sa stanoví začiatočný mesiac inkrementu z pohľadu celého projektu.
Pre daľšie fázy projektu je potrebné zvoliť ich začiatočný mesiac (od začiatku projektu)</t>
        </r>
      </text>
    </comment>
    <comment ref="H2" authorId="0" shapeId="0" xr:uid="{00000000-0006-0000-1400-000004000000}">
      <text>
        <r>
          <rPr>
            <b/>
            <sz val="9"/>
            <color indexed="81"/>
            <rFont val="Segoe UI"/>
            <family val="2"/>
          </rPr>
          <t>Author:</t>
        </r>
        <r>
          <rPr>
            <sz val="9"/>
            <color indexed="81"/>
            <rFont val="Segoe UI"/>
            <family val="2"/>
          </rPr>
          <t xml:space="preserve">
Jedná sa o technický parameter pre potreby Gant Chartu</t>
        </r>
      </text>
    </comment>
    <comment ref="I2" authorId="0" shapeId="0" xr:uid="{00000000-0006-0000-1400-000005000000}">
      <text>
        <r>
          <rPr>
            <b/>
            <sz val="9"/>
            <color indexed="81"/>
            <rFont val="Segoe UI"/>
            <family val="2"/>
          </rPr>
          <t>Author:</t>
        </r>
        <r>
          <rPr>
            <sz val="9"/>
            <color indexed="81"/>
            <rFont val="Segoe UI"/>
            <family val="2"/>
          </rPr>
          <t xml:space="preserve">
Pre každú fázu projektu (orekm poslednej - ta je dopočítaná automaticky) je ptorebné stanoviť dobu trvania v mesiacoch.</t>
        </r>
      </text>
    </comment>
    <comment ref="J2" authorId="0" shapeId="0" xr:uid="{00000000-0006-0000-1400-000006000000}">
      <text>
        <r>
          <rPr>
            <b/>
            <sz val="9"/>
            <color indexed="81"/>
            <rFont val="Segoe UI"/>
            <family val="2"/>
          </rPr>
          <t>Author:</t>
        </r>
        <r>
          <rPr>
            <sz val="9"/>
            <color indexed="81"/>
            <rFont val="Segoe UI"/>
            <family val="2"/>
          </rPr>
          <t xml:space="preserve">
Koniec danej fázy je prepočítaný na základe hodnoty Start a Trvanie.</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3" authorId="0" shapeId="0" xr:uid="{9B2FDF5C-5480-4866-BE4C-701C8B69EF41}">
      <text>
        <r>
          <rPr>
            <b/>
            <sz val="9"/>
            <color indexed="81"/>
            <rFont val="Tahoma"/>
            <charset val="1"/>
          </rPr>
          <t>Author:</t>
        </r>
        <r>
          <rPr>
            <sz val="9"/>
            <color indexed="81"/>
            <rFont val="Tahoma"/>
            <charset val="1"/>
          </rPr>
          <t xml:space="preserve">
Celkové TCO za prvé 3 roky - T1 až T3</t>
        </r>
      </text>
    </comment>
    <comment ref="D3" authorId="0" shapeId="0" xr:uid="{A4DD055F-5FE4-4505-8B02-72F576DA3EF9}">
      <text>
        <r>
          <rPr>
            <b/>
            <sz val="9"/>
            <color indexed="81"/>
            <rFont val="Tahoma"/>
            <charset val="1"/>
          </rPr>
          <t>Author:</t>
        </r>
        <r>
          <rPr>
            <sz val="9"/>
            <color indexed="81"/>
            <rFont val="Tahoma"/>
            <charset val="1"/>
          </rPr>
          <t xml:space="preserve">
Interné náklady - záložka POZICIE_INTERNE</t>
        </r>
      </text>
    </comment>
    <comment ref="E3" authorId="0" shapeId="0" xr:uid="{16ABAF62-AA46-45DC-AC15-F3BF217A2E74}">
      <text>
        <r>
          <rPr>
            <b/>
            <sz val="9"/>
            <color indexed="81"/>
            <rFont val="Tahoma"/>
            <charset val="1"/>
          </rPr>
          <t>Author:</t>
        </r>
        <r>
          <rPr>
            <sz val="9"/>
            <color indexed="81"/>
            <rFont val="Tahoma"/>
            <charset val="1"/>
          </rPr>
          <t xml:space="preserve">
DPH pre externé náklady - záložka AKTIVITY_POZICIE</t>
        </r>
      </text>
    </comment>
    <comment ref="F3" authorId="0" shapeId="0" xr:uid="{1C6E51A6-C9E3-47B3-BDFD-6B34A64B678D}">
      <text>
        <r>
          <rPr>
            <b/>
            <sz val="9"/>
            <color indexed="81"/>
            <rFont val="Tahoma"/>
            <charset val="1"/>
          </rPr>
          <t>Author:</t>
        </r>
        <r>
          <rPr>
            <sz val="9"/>
            <color indexed="81"/>
            <rFont val="Tahoma"/>
            <charset val="1"/>
          </rPr>
          <t xml:space="preserve">
Celkové TCO za prvé 3 roky po odrátaní inerných nákladov a DPH na externé náklady</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6" authorId="0" shapeId="0" xr:uid="{00000000-0006-0000-1B00-000001000000}">
      <text>
        <r>
          <rPr>
            <b/>
            <sz val="9"/>
            <color indexed="81"/>
            <rFont val="Segoe UI"/>
            <family val="2"/>
          </rPr>
          <t>Author:</t>
        </r>
        <r>
          <rPr>
            <sz val="9"/>
            <color indexed="81"/>
            <rFont val="Segoe UI"/>
            <family val="2"/>
          </rPr>
          <t xml:space="preserve">
Do tejto často sa transformujú náklady zo záložky Rozpočet - HW a licencie označené ako SW.
Pričom sú kalkulované v roku dodania danej položky.</t>
        </r>
      </text>
    </comment>
    <comment ref="A16" authorId="0" shapeId="0" xr:uid="{00000000-0006-0000-1B00-000002000000}">
      <text>
        <r>
          <rPr>
            <b/>
            <sz val="9"/>
            <color indexed="81"/>
            <rFont val="Segoe UI"/>
            <family val="2"/>
          </rPr>
          <t>Author:</t>
        </r>
        <r>
          <rPr>
            <sz val="9"/>
            <color indexed="81"/>
            <rFont val="Segoe UI"/>
            <family val="2"/>
          </rPr>
          <t xml:space="preserve">
Túto sekciu je potrebné vyplniť v prípade potreby manuálne</t>
        </r>
      </text>
    </comment>
    <comment ref="A26" authorId="0" shapeId="0" xr:uid="{00000000-0006-0000-1B00-000003000000}">
      <text>
        <r>
          <rPr>
            <b/>
            <sz val="9"/>
            <color indexed="81"/>
            <rFont val="Segoe UI"/>
            <family val="2"/>
          </rPr>
          <t>Author:</t>
        </r>
        <r>
          <rPr>
            <sz val="9"/>
            <color indexed="81"/>
            <rFont val="Segoe UI"/>
            <family val="2"/>
          </rPr>
          <t xml:space="preserve">
Túto sekciu je potrebné vyplniť v prípade potreby manuálne</t>
        </r>
      </text>
    </comment>
    <comment ref="A37" authorId="0" shapeId="0" xr:uid="{00000000-0006-0000-1B00-000004000000}">
      <text>
        <r>
          <rPr>
            <b/>
            <sz val="9"/>
            <color indexed="81"/>
            <rFont val="Segoe UI"/>
            <family val="2"/>
          </rPr>
          <t>Author:</t>
        </r>
        <r>
          <rPr>
            <sz val="9"/>
            <color indexed="81"/>
            <rFont val="Segoe UI"/>
            <family val="2"/>
          </rPr>
          <t xml:space="preserve">
Do tejto sekcie sa pre jednotlivé moduly transformujú náklady z Rozpocet - Vyvoj aplikacii, pricom su kalkulovane v roku, kedy končí inkrement, do ktorého je modul zaradený</t>
        </r>
      </text>
    </comment>
    <comment ref="A47" authorId="0" shapeId="0" xr:uid="{00000000-0006-0000-1B00-000005000000}">
      <text>
        <r>
          <rPr>
            <b/>
            <sz val="9"/>
            <color indexed="81"/>
            <rFont val="Segoe UI"/>
            <family val="2"/>
          </rPr>
          <t>Author:</t>
        </r>
        <r>
          <rPr>
            <sz val="9"/>
            <color indexed="81"/>
            <rFont val="Segoe UI"/>
            <family val="2"/>
          </rPr>
          <t xml:space="preserve">
Túto sekciu je potrebné vyplniť v prípade potreby manuálne</t>
        </r>
      </text>
    </comment>
    <comment ref="A57" authorId="0" shapeId="0" xr:uid="{00000000-0006-0000-1B00-000006000000}">
      <text>
        <r>
          <rPr>
            <b/>
            <sz val="9"/>
            <color indexed="81"/>
            <rFont val="Segoe UI"/>
            <family val="2"/>
          </rPr>
          <t>Author:</t>
        </r>
        <r>
          <rPr>
            <sz val="9"/>
            <color indexed="81"/>
            <rFont val="Segoe UI"/>
            <family val="2"/>
          </rPr>
          <t xml:space="preserve">
Do tejto seckcie sa transformujú náklady definované v časti POZICIE_INTERNE a to z hlavných aktivít (Analýa a dizajn, Implementácia, Nasadenie, Testovanie).
Rovnako sú kalkulované do roku ukončenia príslušného inkrementu.</t>
        </r>
      </text>
    </comment>
    <comment ref="A67" authorId="0" shapeId="0" xr:uid="{00000000-0006-0000-1B00-000007000000}">
      <text>
        <r>
          <rPr>
            <b/>
            <sz val="9"/>
            <color indexed="81"/>
            <rFont val="Segoe UI"/>
            <family val="2"/>
          </rPr>
          <t>Author:</t>
        </r>
        <r>
          <rPr>
            <sz val="9"/>
            <color indexed="81"/>
            <rFont val="Segoe UI"/>
            <family val="2"/>
          </rPr>
          <t xml:space="preserve">
Túto sekciu je potrebné vyplniť v prípade potreby manuálne</t>
        </r>
      </text>
    </comment>
    <comment ref="A79" authorId="0" shapeId="0" xr:uid="{00000000-0006-0000-1B00-000008000000}">
      <text>
        <r>
          <rPr>
            <b/>
            <sz val="9"/>
            <color indexed="81"/>
            <rFont val="Segoe UI"/>
            <family val="2"/>
          </rPr>
          <t>Author:</t>
        </r>
        <r>
          <rPr>
            <sz val="9"/>
            <color indexed="81"/>
            <rFont val="Segoe UI"/>
            <family val="2"/>
          </rPr>
          <t xml:space="preserve">
Táto sekcia počíta náklady ako obstarávacia hodnota SW produktov (013 Softvér) * hodnota supportov pre daný modul stanovená v záložke MODULY
Kalkulácia začína rokom uvedeným ako začiatok podpory / supportu pre daný modul  v záložke MODULY
Náklady sú rozložené podľa váhy modulov.</t>
        </r>
      </text>
    </comment>
    <comment ref="A89" authorId="0" shapeId="0" xr:uid="{00000000-0006-0000-1B00-000009000000}">
      <text>
        <r>
          <rPr>
            <b/>
            <sz val="9"/>
            <color indexed="81"/>
            <rFont val="Segoe UI"/>
            <family val="2"/>
          </rPr>
          <t>Author:</t>
        </r>
        <r>
          <rPr>
            <sz val="9"/>
            <color indexed="81"/>
            <rFont val="Segoe UI"/>
            <family val="2"/>
          </rPr>
          <t xml:space="preserve">
Táto sekcia počíta náklady ako obstarávacia hodnota SW produktov (013 Softvér) * hodnota Rovzoja pre daný modul stanovená v záložke MODULY
Kalkulácia začína rokom uvedeným ako začiatok podpory / supportu pre daný modul  v záložke MODULY
Náklady sú rozložené podľa váhy modulov.</t>
        </r>
      </text>
    </comment>
    <comment ref="A100" authorId="0" shapeId="0" xr:uid="{00000000-0006-0000-1B00-00000A000000}">
      <text>
        <r>
          <rPr>
            <b/>
            <sz val="9"/>
            <color indexed="81"/>
            <rFont val="Segoe UI"/>
            <family val="2"/>
          </rPr>
          <t>Author:</t>
        </r>
        <r>
          <rPr>
            <sz val="9"/>
            <color indexed="81"/>
            <rFont val="Segoe UI"/>
            <family val="2"/>
          </rPr>
          <t xml:space="preserve">
Táto sekcia počíta náklady ako obstarávacia hodnota Aplikácií (013 Softvér) * hodnota Aplikačnej podpory pre daný modul stanovená v záložke MODULY
Kalkulácia začína rokom uvedeným ako začiatok podpory / supportu pre daný modul  v záložke MODULY
Náklady sú rozložené podľa váhy modulov.</t>
        </r>
      </text>
    </comment>
    <comment ref="A110" authorId="0" shapeId="0" xr:uid="{00000000-0006-0000-1B00-00000B000000}">
      <text>
        <r>
          <rPr>
            <b/>
            <sz val="9"/>
            <color indexed="81"/>
            <rFont val="Segoe UI"/>
            <family val="2"/>
          </rPr>
          <t>Author:</t>
        </r>
        <r>
          <rPr>
            <sz val="9"/>
            <color indexed="81"/>
            <rFont val="Segoe UI"/>
            <family val="2"/>
          </rPr>
          <t xml:space="preserve">
Túto sekciu je potrebné vyplniť v prípade potreby manuálne</t>
        </r>
      </text>
    </comment>
    <comment ref="A120" authorId="0" shapeId="0" xr:uid="{00000000-0006-0000-1B00-00000C000000}">
      <text>
        <r>
          <rPr>
            <b/>
            <sz val="9"/>
            <color indexed="81"/>
            <rFont val="Segoe UI"/>
            <family val="2"/>
          </rPr>
          <t>Author:</t>
        </r>
        <r>
          <rPr>
            <sz val="9"/>
            <color indexed="81"/>
            <rFont val="Segoe UI"/>
            <family val="2"/>
          </rPr>
          <t xml:space="preserve">
Táto sekcia počíta náklady ako obstarávacia hodnota Aplikácií (013 Softvér) * hodnota Rozvoja pre daný modul stanovená v záložke MODULY
Kalkulácia začína rokom uvedeným ako začiatok podpory / supportu pre daný modul  v záložke MODULY
Náklady sú rozložené podľa váhy modulov.</t>
        </r>
      </text>
    </comment>
    <comment ref="A130" authorId="0" shapeId="0" xr:uid="{00000000-0006-0000-1B00-00000D000000}">
      <text>
        <r>
          <rPr>
            <b/>
            <sz val="9"/>
            <color indexed="81"/>
            <rFont val="Segoe UI"/>
            <family val="2"/>
          </rPr>
          <t>Author:</t>
        </r>
        <r>
          <rPr>
            <sz val="9"/>
            <color indexed="81"/>
            <rFont val="Segoe UI"/>
            <family val="2"/>
          </rPr>
          <t xml:space="preserve">
Túto sekciu je potrebné vyplniť v prípade potreby manuálne</t>
        </r>
      </text>
    </comment>
    <comment ref="A140" authorId="0" shapeId="0" xr:uid="{00000000-0006-0000-1B00-00000E000000}">
      <text>
        <r>
          <rPr>
            <b/>
            <sz val="9"/>
            <color indexed="81"/>
            <rFont val="Segoe UI"/>
            <family val="2"/>
          </rPr>
          <t>Author:</t>
        </r>
        <r>
          <rPr>
            <sz val="9"/>
            <color indexed="81"/>
            <rFont val="Segoe UI"/>
            <family val="2"/>
          </rPr>
          <t xml:space="preserve">
Túto sekciu je potrebné vyplniť v prípade potreby manuálne</t>
        </r>
      </text>
    </comment>
    <comment ref="A151" authorId="0" shapeId="0" xr:uid="{00000000-0006-0000-1B00-00000F000000}">
      <text>
        <r>
          <rPr>
            <b/>
            <sz val="9"/>
            <color indexed="81"/>
            <rFont val="Segoe UI"/>
            <family val="2"/>
          </rPr>
          <t>Author:</t>
        </r>
        <r>
          <rPr>
            <sz val="9"/>
            <color indexed="81"/>
            <rFont val="Segoe UI"/>
            <family val="2"/>
          </rPr>
          <t xml:space="preserve">
Táto sekcia je predvyplnená na základe údajov uvedených v záložke POZICIE_INTERNE z aktivity projektové riadenie.
Náklady sú kalkulované na základe váh jednotlivých modulov ako aj dĺžky trvanai projektu v jednotlivých rokoch.
V prípade, ak by bolo projektové riadenie zabezpečované externými zdrojmi, je potrebné manuálne doplniť tieto údaje</t>
        </r>
      </text>
    </comment>
    <comment ref="A161" authorId="0" shapeId="0" xr:uid="{00000000-0006-0000-1B00-000010000000}">
      <text>
        <r>
          <rPr>
            <b/>
            <sz val="9"/>
            <color rgb="FF000000"/>
            <rFont val="Segoe UI"/>
            <family val="2"/>
            <charset val="1"/>
          </rPr>
          <t>Author:</t>
        </r>
        <r>
          <rPr>
            <sz val="9"/>
            <color rgb="FF000000"/>
            <rFont val="Segoe UI"/>
            <family val="2"/>
            <charset val="1"/>
          </rPr>
          <t xml:space="preserve">
Túto sekciu je potrebné vyplniť v prípade potreby manuálne</t>
        </r>
      </text>
    </comment>
    <comment ref="A172" authorId="0" shapeId="0" xr:uid="{00000000-0006-0000-1B00-000011000000}">
      <text>
        <r>
          <rPr>
            <b/>
            <sz val="9"/>
            <color rgb="FF000000"/>
            <rFont val="Segoe UI"/>
            <family val="2"/>
            <charset val="1"/>
          </rPr>
          <t>Author:</t>
        </r>
        <r>
          <rPr>
            <sz val="9"/>
            <color rgb="FF000000"/>
            <rFont val="Segoe UI"/>
            <family val="2"/>
            <charset val="1"/>
          </rPr>
          <t xml:space="preserve">
Túto sekciu je potrebné vyplniť v prípade potreby manuálne</t>
        </r>
      </text>
    </comment>
    <comment ref="A182" authorId="0" shapeId="0" xr:uid="{00000000-0006-0000-1B00-000012000000}">
      <text>
        <r>
          <rPr>
            <b/>
            <sz val="9"/>
            <color rgb="FF000000"/>
            <rFont val="Segoe UI"/>
            <family val="2"/>
            <charset val="1"/>
          </rPr>
          <t>Author:</t>
        </r>
        <r>
          <rPr>
            <sz val="9"/>
            <color rgb="FF000000"/>
            <rFont val="Segoe UI"/>
            <family val="2"/>
            <charset val="1"/>
          </rPr>
          <t xml:space="preserve">
Túto sekciu je potrebné vyplniť v prípade potreby manuálne</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5" authorId="0" shapeId="0" xr:uid="{00000000-0006-0000-1C00-000001000000}">
      <text>
        <r>
          <rPr>
            <b/>
            <sz val="9"/>
            <color indexed="81"/>
            <rFont val="Segoe UI"/>
            <family val="2"/>
          </rPr>
          <t>Author:</t>
        </r>
        <r>
          <rPr>
            <sz val="9"/>
            <color indexed="81"/>
            <rFont val="Segoe UI"/>
            <family val="2"/>
          </rPr>
          <t xml:space="preserve">
Náklady do tejto sekcie sú transformované zo záložky Rozpočet - HW a licencie a to ako suma položiek označných ako:
 - HW 
 - SW pre HW
zaradených do nákladovej triedy 022 Samostatné hnuteľné veci a súbory hnuteľných vecí
Rok kalkulácie nákladu závisí od roku uvedeného ako rok dodávky daného komponentu</t>
        </r>
      </text>
    </comment>
    <comment ref="A15" authorId="0" shapeId="0" xr:uid="{00000000-0006-0000-1C00-000002000000}">
      <text>
        <r>
          <rPr>
            <b/>
            <sz val="9"/>
            <color indexed="81"/>
            <rFont val="Segoe UI"/>
            <family val="2"/>
          </rPr>
          <t>Author:</t>
        </r>
        <r>
          <rPr>
            <sz val="9"/>
            <color indexed="81"/>
            <rFont val="Segoe UI"/>
            <family val="2"/>
          </rPr>
          <t xml:space="preserve">
Náklady do tejto sekcie sú transformované zo záložky Rozpočet - HW a licencie a to ako suma položiek označných ako:
 - HW 
 - SW pre HW
zaradených do nákladovej triedy 112 Zásoby
Rok kalkulácie nákladu závisí od roku uvedeného ako rok dodávky daného komponentu</t>
        </r>
      </text>
    </comment>
    <comment ref="A25" authorId="0" shapeId="0" xr:uid="{00000000-0006-0000-1C00-000003000000}">
      <text>
        <r>
          <rPr>
            <b/>
            <sz val="9"/>
            <color indexed="81"/>
            <rFont val="Segoe UI"/>
            <family val="2"/>
          </rPr>
          <t>Author:</t>
        </r>
        <r>
          <rPr>
            <sz val="9"/>
            <color indexed="81"/>
            <rFont val="Segoe UI"/>
            <family val="2"/>
          </rPr>
          <t xml:space="preserve">
Túto sekciu je potrebné v prípade potreby vyplniť manuálne</t>
        </r>
      </text>
    </comment>
    <comment ref="A35" authorId="0" shapeId="0" xr:uid="{00000000-0006-0000-1C00-000004000000}">
      <text>
        <r>
          <rPr>
            <b/>
            <sz val="9"/>
            <color indexed="81"/>
            <rFont val="Segoe UI"/>
            <family val="2"/>
          </rPr>
          <t>Author:</t>
        </r>
        <r>
          <rPr>
            <sz val="9"/>
            <color indexed="81"/>
            <rFont val="Segoe UI"/>
            <family val="2"/>
          </rPr>
          <t xml:space="preserve">
Túto sekciu je potrebné v prípade potreby vyplniť manuálne
Jedná sa o mzdové výdavky interných pracovíkov, ktoré sú využité na inštalačné práce a pod.</t>
        </r>
      </text>
    </comment>
    <comment ref="A45" authorId="0" shapeId="0" xr:uid="{00000000-0006-0000-1C00-000005000000}">
      <text>
        <r>
          <rPr>
            <b/>
            <sz val="9"/>
            <color indexed="81"/>
            <rFont val="Segoe UI"/>
            <family val="2"/>
          </rPr>
          <t>Author:</t>
        </r>
        <r>
          <rPr>
            <sz val="9"/>
            <color indexed="81"/>
            <rFont val="Segoe UI"/>
            <family val="2"/>
          </rPr>
          <t xml:space="preserve">
Túto sekciu je potrebné v prípade potreby vyplniť manuálne</t>
        </r>
      </text>
    </comment>
    <comment ref="A56" authorId="0" shapeId="0" xr:uid="{00000000-0006-0000-1C00-000006000000}">
      <text>
        <r>
          <rPr>
            <b/>
            <sz val="9"/>
            <color indexed="81"/>
            <rFont val="Segoe UI"/>
            <family val="2"/>
          </rPr>
          <t>Author:</t>
        </r>
        <r>
          <rPr>
            <sz val="9"/>
            <color indexed="81"/>
            <rFont val="Segoe UI"/>
            <family val="2"/>
          </rPr>
          <t xml:space="preserve">
Táto sekcia počíta náklady ako obstarávacia hodnota Nákup, inštalácia a sprevádzkovanie HW 
vrátane systémového SW (022) * hodnota supportov pre daný modul stanovená v záložke MODULY
Kalkulácia začína rokom uvedeným ako začiatok podpory / supportu pre daný modul  v záložke MODULY
Náklady sú rozložené podľa váhy modulov.</t>
        </r>
      </text>
    </comment>
    <comment ref="A66" authorId="0" shapeId="0" xr:uid="{00000000-0006-0000-1C00-000007000000}">
      <text>
        <r>
          <rPr>
            <b/>
            <sz val="9"/>
            <color indexed="81"/>
            <rFont val="Segoe UI"/>
            <family val="2"/>
          </rPr>
          <t>Author:</t>
        </r>
        <r>
          <rPr>
            <sz val="9"/>
            <color indexed="81"/>
            <rFont val="Segoe UI"/>
            <family val="2"/>
          </rPr>
          <t xml:space="preserve">
Túto sekciu je potrebné v prípade potreby vyplniť manuálne</t>
        </r>
      </text>
    </comment>
    <comment ref="A76" authorId="0" shapeId="0" xr:uid="{00000000-0006-0000-1C00-000008000000}">
      <text>
        <r>
          <rPr>
            <b/>
            <sz val="9"/>
            <color indexed="81"/>
            <rFont val="Segoe UI"/>
            <family val="2"/>
          </rPr>
          <t>Author:</t>
        </r>
        <r>
          <rPr>
            <sz val="9"/>
            <color indexed="81"/>
            <rFont val="Segoe UI"/>
            <family val="2"/>
          </rPr>
          <t xml:space="preserve">
Túto sekciu je potrebné v prípade potreby vyplniť manuálne</t>
        </r>
      </text>
    </comment>
    <comment ref="A86" authorId="0" shapeId="0" xr:uid="{00000000-0006-0000-1C00-000009000000}">
      <text>
        <r>
          <rPr>
            <b/>
            <sz val="9"/>
            <color indexed="81"/>
            <rFont val="Segoe UI"/>
            <family val="2"/>
          </rPr>
          <t>Author:</t>
        </r>
        <r>
          <rPr>
            <sz val="9"/>
            <color indexed="81"/>
            <rFont val="Segoe UI"/>
            <family val="2"/>
          </rPr>
          <t xml:space="preserve">
Túto sekciu je potrebné v prípade potreby vyplniť manuálne</t>
        </r>
      </text>
    </comment>
    <comment ref="A96" authorId="0" shapeId="0" xr:uid="{00000000-0006-0000-1C00-00000A000000}">
      <text>
        <r>
          <rPr>
            <b/>
            <sz val="9"/>
            <color indexed="81"/>
            <rFont val="Segoe UI"/>
            <family val="2"/>
          </rPr>
          <t>Author:</t>
        </r>
        <r>
          <rPr>
            <sz val="9"/>
            <color indexed="81"/>
            <rFont val="Segoe UI"/>
            <family val="2"/>
          </rPr>
          <t xml:space="preserve">
Túto sekciu je potrebné v prípade potreby vyplniť manuálne</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7" authorId="0" shapeId="0" xr:uid="{00000000-0006-0000-1D00-000001000000}">
      <text>
        <r>
          <rPr>
            <b/>
            <sz val="9"/>
            <color indexed="81"/>
            <rFont val="Segoe UI"/>
            <family val="2"/>
          </rPr>
          <t>Author:</t>
        </r>
        <r>
          <rPr>
            <sz val="9"/>
            <color indexed="81"/>
            <rFont val="Segoe UI"/>
            <family val="2"/>
          </rPr>
          <t xml:space="preserve">
Potrebné aktualizovať podľa informácii zo SU SR</t>
        </r>
      </text>
    </comment>
    <comment ref="A10" authorId="0" shapeId="0" xr:uid="{00000000-0006-0000-1D00-000002000000}">
      <text>
        <r>
          <rPr>
            <b/>
            <sz val="9"/>
            <color indexed="81"/>
            <rFont val="Segoe UI"/>
            <family val="2"/>
          </rPr>
          <t>Author:</t>
        </r>
        <r>
          <rPr>
            <sz val="9"/>
            <color indexed="81"/>
            <rFont val="Segoe UI"/>
            <family val="2"/>
          </rPr>
          <t xml:space="preserve">
Potrebné aktualizovať podľa informácii zo SU SR</t>
        </r>
      </text>
    </comment>
    <comment ref="A12" authorId="0" shapeId="0" xr:uid="{00000000-0006-0000-1D00-000003000000}">
      <text>
        <r>
          <rPr>
            <b/>
            <sz val="9"/>
            <color indexed="81"/>
            <rFont val="Segoe UI"/>
            <family val="2"/>
          </rPr>
          <t>Author:</t>
        </r>
        <r>
          <rPr>
            <sz val="9"/>
            <color indexed="81"/>
            <rFont val="Segoe UI"/>
            <family val="2"/>
          </rPr>
          <t xml:space="preserve">
Potrebne aktualizovať pre daný rok, v ktorom sa plánuje pojekt realizovať</t>
        </r>
      </text>
    </comment>
    <comment ref="A13" authorId="0" shapeId="0" xr:uid="{00000000-0006-0000-1D00-000004000000}">
      <text>
        <r>
          <rPr>
            <b/>
            <sz val="9"/>
            <color indexed="81"/>
            <rFont val="Segoe UI"/>
            <family val="2"/>
          </rPr>
          <t>Author:</t>
        </r>
        <r>
          <rPr>
            <sz val="9"/>
            <color indexed="81"/>
            <rFont val="Segoe UI"/>
            <family val="2"/>
          </rPr>
          <t xml:space="preserve">
Potrebne aktualizovať pre daný rok, v ktorom sa plánuje pojekt realizovať</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G18" authorId="0" shapeId="0" xr:uid="{00000000-0006-0000-0200-000001000000}">
      <text>
        <r>
          <rPr>
            <b/>
            <sz val="9"/>
            <color indexed="81"/>
            <rFont val="Segoe UI"/>
            <family val="2"/>
          </rPr>
          <t>Author:</t>
        </r>
        <r>
          <rPr>
            <sz val="9"/>
            <color indexed="81"/>
            <rFont val="Segoe UI"/>
            <family val="2"/>
          </rPr>
          <t xml:space="preserve">
V prípade potreby vyplniť Ostatné daňové a nedaňové príjmy</t>
        </r>
      </text>
    </comment>
    <comment ref="AE25" authorId="0" shapeId="0" xr:uid="{00000000-0006-0000-0200-000002000000}">
      <text>
        <r>
          <rPr>
            <b/>
            <sz val="9"/>
            <color indexed="81"/>
            <rFont val="Segoe UI"/>
            <family val="2"/>
          </rPr>
          <t>Author:</t>
        </r>
        <r>
          <rPr>
            <sz val="9"/>
            <color indexed="81"/>
            <rFont val="Segoe UI"/>
            <family val="2"/>
          </rPr>
          <t xml:space="preserve">
V prípade potreby vyplniť Nevýčislené spoločenské prínosy ako textové pomenovanie prínosov</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I3" authorId="0" shapeId="0" xr:uid="{00000000-0006-0000-0300-000001000000}">
      <text>
        <r>
          <rPr>
            <b/>
            <sz val="9"/>
            <color indexed="81"/>
            <rFont val="Segoe UI"/>
            <family val="2"/>
          </rPr>
          <t>Author:</t>
        </r>
        <r>
          <rPr>
            <sz val="9"/>
            <color indexed="81"/>
            <rFont val="Segoe UI"/>
            <family val="2"/>
          </rPr>
          <t xml:space="preserve">
Potrebné vyplniť % ktorým da daný zdroj financovania bude podieľať na nákladoch projektu. 
Suma v danom riadku musí byť 100%, na čo upozorňuje aj hodnota v stĺpci G pre daný riadok</t>
        </r>
      </text>
    </comment>
    <comment ref="F20" authorId="0" shapeId="0" xr:uid="{00000000-0006-0000-0300-000002000000}">
      <text>
        <r>
          <rPr>
            <b/>
            <sz val="9"/>
            <color rgb="FF000000"/>
            <rFont val="Segoe UI"/>
            <family val="2"/>
            <charset val="1"/>
          </rPr>
          <t>Author:</t>
        </r>
        <r>
          <rPr>
            <sz val="9"/>
            <color rgb="FF000000"/>
            <rFont val="Segoe UI"/>
            <family val="2"/>
            <charset val="1"/>
          </rPr>
          <t xml:space="preserve">
Potrebné rozdeliť náklady v danej Oblasti výdavku na Interné a externé. Suma pre Oblasť výdavku musí byť 100%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2" authorId="0" shapeId="0" xr:uid="{00000000-0006-0000-0800-000001000000}">
      <text>
        <r>
          <rPr>
            <b/>
            <sz val="9"/>
            <color indexed="81"/>
            <rFont val="Segoe UI"/>
            <family val="2"/>
          </rPr>
          <t>Author:</t>
        </r>
        <r>
          <rPr>
            <sz val="9"/>
            <color indexed="81"/>
            <rFont val="Segoe UI"/>
            <family val="2"/>
          </rPr>
          <t xml:space="preserve">
Potrebné vyplniť názvy všetkých modulov, ktoré budú v projekte dodávané. 
Moduly by mali byť tie isté ako sú definované v META IS k danému IS</t>
        </r>
      </text>
    </comment>
    <comment ref="C2" authorId="0" shapeId="0" xr:uid="{00000000-0006-0000-0800-000002000000}">
      <text>
        <r>
          <rPr>
            <b/>
            <sz val="9"/>
            <color indexed="81"/>
            <rFont val="Segoe UI"/>
            <family val="2"/>
          </rPr>
          <t>Author:</t>
        </r>
        <r>
          <rPr>
            <sz val="9"/>
            <color indexed="81"/>
            <rFont val="Segoe UI"/>
            <family val="2"/>
          </rPr>
          <t xml:space="preserve">
Hodnota je automaticky dotiahnutá pre modul zo záložky TCF_v02</t>
        </r>
      </text>
    </comment>
    <comment ref="D2" authorId="0" shapeId="0" xr:uid="{00000000-0006-0000-0800-000003000000}">
      <text>
        <r>
          <rPr>
            <b/>
            <sz val="9"/>
            <color indexed="81"/>
            <rFont val="Segoe UI"/>
            <family val="2"/>
          </rPr>
          <t>Author:</t>
        </r>
        <r>
          <rPr>
            <sz val="9"/>
            <color indexed="81"/>
            <rFont val="Segoe UI"/>
            <family val="2"/>
          </rPr>
          <t xml:space="preserve">
Hodnota je automaticky dotiahnutá pre modul zo záložky ECF_v02</t>
        </r>
      </text>
    </comment>
    <comment ref="E2" authorId="0" shapeId="0" xr:uid="{00000000-0006-0000-0800-000004000000}">
      <text>
        <r>
          <rPr>
            <b/>
            <sz val="9"/>
            <color indexed="81"/>
            <rFont val="Segoe UI"/>
            <family val="2"/>
          </rPr>
          <t>Author:</t>
        </r>
        <r>
          <rPr>
            <sz val="9"/>
            <color indexed="81"/>
            <rFont val="Segoe UI"/>
            <family val="2"/>
          </rPr>
          <t xml:space="preserve">
Hodnota je automaticky dotiahnutá pre modul zo záložky UAW_v02</t>
        </r>
      </text>
    </comment>
    <comment ref="F2" authorId="0" shapeId="0" xr:uid="{00000000-0006-0000-0800-000005000000}">
      <text>
        <r>
          <rPr>
            <b/>
            <sz val="9"/>
            <color indexed="81"/>
            <rFont val="Segoe UI"/>
            <family val="2"/>
          </rPr>
          <t>Author:</t>
        </r>
        <r>
          <rPr>
            <sz val="9"/>
            <color indexed="81"/>
            <rFont val="Segoe UI"/>
            <family val="2"/>
          </rPr>
          <t xml:space="preserve">
Jedná sa o stanovanie hodnoty Produktivity faktor, ktorá znemená hodinúvú náročnosť realizácie jednoného bodu prípadu použitia (Use Case Pointu).
Viac v metodike časť Produktivity faktor a časť Oranžová sekcia bod 7</t>
        </r>
      </text>
    </comment>
    <comment ref="G2" authorId="0" shapeId="0" xr:uid="{00000000-0006-0000-0800-000006000000}">
      <text>
        <r>
          <rPr>
            <b/>
            <sz val="9"/>
            <color indexed="81"/>
            <rFont val="Segoe UI"/>
            <family val="2"/>
          </rPr>
          <t>Author:</t>
        </r>
        <r>
          <rPr>
            <sz val="9"/>
            <color indexed="81"/>
            <rFont val="Segoe UI"/>
            <family val="2"/>
          </rPr>
          <t xml:space="preserve">
Je potrebné vybrať inkrement, v ktorom bude daný modul dodaný</t>
        </r>
      </text>
    </comment>
    <comment ref="H2" authorId="0" shapeId="0" xr:uid="{00000000-0006-0000-0800-000007000000}">
      <text>
        <r>
          <rPr>
            <b/>
            <sz val="9"/>
            <color indexed="81"/>
            <rFont val="Segoe UI"/>
            <family val="2"/>
          </rPr>
          <t>Author:</t>
        </r>
        <r>
          <rPr>
            <sz val="9"/>
            <color indexed="81"/>
            <rFont val="Segoe UI"/>
            <family val="2"/>
          </rPr>
          <t xml:space="preserve">
Automaticky vyplnený rok dodania z vybraného inkrementu</t>
        </r>
      </text>
    </comment>
    <comment ref="I2" authorId="0" shapeId="0" xr:uid="{00000000-0006-0000-0800-000008000000}">
      <text>
        <r>
          <rPr>
            <b/>
            <sz val="9"/>
            <color indexed="81"/>
            <rFont val="Segoe UI"/>
            <family val="2"/>
          </rPr>
          <t>Author:</t>
        </r>
        <r>
          <rPr>
            <sz val="9"/>
            <color indexed="81"/>
            <rFont val="Segoe UI"/>
            <family val="2"/>
          </rPr>
          <t xml:space="preserve">
Automaticky doplnený poradový rok dodania od spustenia projektu</t>
        </r>
      </text>
    </comment>
    <comment ref="J2" authorId="0" shapeId="0" xr:uid="{00000000-0006-0000-0800-000009000000}">
      <text>
        <r>
          <rPr>
            <b/>
            <sz val="9"/>
            <color indexed="81"/>
            <rFont val="Segoe UI"/>
            <family val="2"/>
          </rPr>
          <t>Author:</t>
        </r>
        <r>
          <rPr>
            <sz val="9"/>
            <color indexed="81"/>
            <rFont val="Segoe UI"/>
            <family val="2"/>
          </rPr>
          <t xml:space="preserve">
Prepodkladaný počet externých MDs na realizovaný projekt</t>
        </r>
      </text>
    </comment>
    <comment ref="K2" authorId="0" shapeId="0" xr:uid="{00000000-0006-0000-0800-00000A000000}">
      <text>
        <r>
          <rPr>
            <b/>
            <sz val="9"/>
            <color rgb="FF000000"/>
            <rFont val="Segoe UI"/>
            <family val="2"/>
            <charset val="1"/>
          </rPr>
          <t>Author:</t>
        </r>
        <r>
          <rPr>
            <sz val="9"/>
            <color rgb="FF000000"/>
            <rFont val="Segoe UI"/>
            <family val="2"/>
            <charset val="1"/>
          </rPr>
          <t xml:space="preserve">
Jedná sa o stanovenie % pre aplikačnú podporu daného modulu, ak je aplikačná podpora relevantná</t>
        </r>
      </text>
    </comment>
    <comment ref="L2" authorId="0" shapeId="0" xr:uid="{00000000-0006-0000-0800-00000B000000}">
      <text>
        <r>
          <rPr>
            <b/>
            <sz val="9"/>
            <color indexed="81"/>
            <rFont val="Segoe UI"/>
            <family val="2"/>
          </rPr>
          <t>Author:</t>
        </r>
        <r>
          <rPr>
            <sz val="9"/>
            <color indexed="81"/>
            <rFont val="Segoe UI"/>
            <family val="2"/>
          </rPr>
          <t xml:space="preserve">
Jedná sa o stanovanie % rozvoja pre jednotlivé komponenty modulu. Rozvoj je vnímaný ako, pre aplikácie, tak aj pre SW produkty.</t>
        </r>
      </text>
    </comment>
    <comment ref="M2" authorId="0" shapeId="0" xr:uid="{00000000-0006-0000-0800-00000C000000}">
      <text>
        <r>
          <rPr>
            <b/>
            <sz val="9"/>
            <color indexed="81"/>
            <rFont val="Segoe UI"/>
            <family val="2"/>
          </rPr>
          <t>Author:</t>
        </r>
        <r>
          <rPr>
            <sz val="9"/>
            <color indexed="81"/>
            <rFont val="Segoe UI"/>
            <family val="2"/>
          </rPr>
          <t xml:space="preserve">
Jedná sa o stanovenie percenta supportov pre HW a SW produkty v danom module.</t>
        </r>
      </text>
    </comment>
    <comment ref="N2" authorId="0" shapeId="0" xr:uid="{00000000-0006-0000-0800-00000D000000}">
      <text>
        <r>
          <rPr>
            <b/>
            <sz val="9"/>
            <color indexed="81"/>
            <rFont val="Segoe UI"/>
            <family val="2"/>
          </rPr>
          <t>Author:</t>
        </r>
        <r>
          <rPr>
            <sz val="9"/>
            <color indexed="81"/>
            <rFont val="Segoe UI"/>
            <family val="2"/>
          </rPr>
          <t xml:space="preserve">
Jedná sa o stanovenie začiatku realizácie podpory alebo supportu pre daný modul. Na základe tejto hodnoty sa následne počítajú prevádzkové náklady pre aplikácie, SW produkty alebo HW.</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1" authorId="0" shapeId="0" xr:uid="{00000000-0006-0000-0A00-000001000000}">
      <text>
        <r>
          <rPr>
            <b/>
            <sz val="9"/>
            <color indexed="81"/>
            <rFont val="Segoe UI"/>
            <family val="2"/>
          </rPr>
          <t>Author:</t>
        </r>
        <r>
          <rPr>
            <sz val="9"/>
            <color indexed="81"/>
            <rFont val="Segoe UI"/>
            <family val="2"/>
          </rPr>
          <t xml:space="preserve">
Je potrebné stanoviť začiatok trvania daného inkrementu.
Počet inkrementov záleží od projektu a jeho náročnosti.
Formát dátumu je DD.MM.RRRR</t>
        </r>
      </text>
    </comment>
    <comment ref="D1" authorId="0" shapeId="0" xr:uid="{00000000-0006-0000-0A00-000002000000}">
      <text>
        <r>
          <rPr>
            <b/>
            <sz val="9"/>
            <color indexed="81"/>
            <rFont val="Segoe UI"/>
            <family val="2"/>
          </rPr>
          <t>Author:</t>
        </r>
        <r>
          <rPr>
            <sz val="9"/>
            <color indexed="81"/>
            <rFont val="Segoe UI"/>
            <family val="2"/>
          </rPr>
          <t xml:space="preserve">
Je potrebné stanoviť dátum ukončenia inkrementu.
Formát dátumu je DD.MM.RRRR</t>
        </r>
      </text>
    </comment>
    <comment ref="E1" authorId="0" shapeId="0" xr:uid="{00000000-0006-0000-0A00-000003000000}">
      <text>
        <r>
          <rPr>
            <b/>
            <sz val="9"/>
            <color indexed="81"/>
            <rFont val="Segoe UI"/>
            <family val="2"/>
          </rPr>
          <t>Author:</t>
        </r>
        <r>
          <rPr>
            <sz val="9"/>
            <color indexed="81"/>
            <rFont val="Segoe UI"/>
            <family val="2"/>
          </rPr>
          <t xml:space="preserve">
Predstavuje dobu trvania inkrementu v mesiacoch</t>
        </r>
      </text>
    </comment>
    <comment ref="F1" authorId="0" shapeId="0" xr:uid="{00000000-0006-0000-0A00-000004000000}">
      <text>
        <r>
          <rPr>
            <b/>
            <sz val="9"/>
            <color indexed="81"/>
            <rFont val="Segoe UI"/>
            <family val="2"/>
          </rPr>
          <t>Author:</t>
        </r>
        <r>
          <rPr>
            <sz val="9"/>
            <color indexed="81"/>
            <rFont val="Segoe UI"/>
            <family val="2"/>
          </rPr>
          <t xml:space="preserve">
Predstavuje rok dodania modulov v danom inkremente od začiatku projektu</t>
        </r>
      </text>
    </comment>
    <comment ref="G1" authorId="0" shapeId="0" xr:uid="{00000000-0006-0000-0A00-000005000000}">
      <text>
        <r>
          <rPr>
            <b/>
            <sz val="9"/>
            <color indexed="81"/>
            <rFont val="Segoe UI"/>
            <family val="2"/>
          </rPr>
          <t>Author:</t>
        </r>
        <r>
          <rPr>
            <sz val="9"/>
            <color indexed="81"/>
            <rFont val="Segoe UI"/>
            <family val="2"/>
          </rPr>
          <t xml:space="preserve">
Predstavuje mesiac ukončenia inkrementu od začiatku projektu</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2" authorId="0" shapeId="0" xr:uid="{00000000-0006-0000-0B00-000001000000}">
      <text>
        <r>
          <rPr>
            <b/>
            <sz val="9"/>
            <color indexed="81"/>
            <rFont val="Segoe UI"/>
            <family val="2"/>
          </rPr>
          <t>Author:</t>
        </r>
        <r>
          <rPr>
            <sz val="9"/>
            <color indexed="81"/>
            <rFont val="Segoe UI"/>
            <family val="2"/>
          </rPr>
          <t xml:space="preserve">
Je potrebné stanoviť ID pre danú požiadavku, pričom sa začína od ID_1 a následne sa pokračuje vždy po 1</t>
        </r>
      </text>
    </comment>
    <comment ref="B2" authorId="0" shapeId="0" xr:uid="{00000000-0006-0000-0B00-000002000000}">
      <text>
        <r>
          <rPr>
            <b/>
            <sz val="9"/>
            <color indexed="81"/>
            <rFont val="Segoe UI"/>
            <family val="2"/>
          </rPr>
          <t>Author:</t>
        </r>
        <r>
          <rPr>
            <sz val="9"/>
            <color indexed="81"/>
            <rFont val="Segoe UI"/>
            <family val="2"/>
          </rPr>
          <t xml:space="preserve">
Je potrebné vybrať klasifikáciu požiadavky z kombo boxu, pričom sa jedná o:
 - funkčnú požiadvaku
 - technickú požiadavku
 - ne- funkčnú požiadavku
Viac k problematike v metodika časť Definovanie a klasifikácia požiadaviek</t>
        </r>
      </text>
    </comment>
    <comment ref="C2" authorId="0" shapeId="0" xr:uid="{00000000-0006-0000-0B00-000003000000}">
      <text>
        <r>
          <rPr>
            <b/>
            <sz val="9"/>
            <color indexed="81"/>
            <rFont val="Segoe UI"/>
            <family val="2"/>
          </rPr>
          <t>Author:</t>
        </r>
        <r>
          <rPr>
            <sz val="9"/>
            <color indexed="81"/>
            <rFont val="Segoe UI"/>
            <family val="2"/>
          </rPr>
          <t xml:space="preserve">
Oblasti požiadaviek si definuje vlastník projektu, pričom by mali byť zvolené tak, aby zahŕňali nejakú ucelenú oblasť - napr. modul, funkčnosť a pod.</t>
        </r>
      </text>
    </comment>
    <comment ref="D2" authorId="0" shapeId="0" xr:uid="{00000000-0006-0000-0B00-000004000000}">
      <text>
        <r>
          <rPr>
            <b/>
            <sz val="9"/>
            <color indexed="81"/>
            <rFont val="Segoe UI"/>
            <family val="2"/>
          </rPr>
          <t>Author:</t>
        </r>
        <r>
          <rPr>
            <sz val="9"/>
            <color indexed="81"/>
            <rFont val="Segoe UI"/>
            <family val="2"/>
          </rPr>
          <t xml:space="preserve">
Jedná sa o jednoduché nazvanie požiadavky</t>
        </r>
      </text>
    </comment>
    <comment ref="E2" authorId="0" shapeId="0" xr:uid="{00000000-0006-0000-0B00-000005000000}">
      <text>
        <r>
          <rPr>
            <b/>
            <sz val="9"/>
            <color indexed="81"/>
            <rFont val="Segoe UI"/>
            <family val="2"/>
          </rPr>
          <t>Author:</t>
        </r>
        <r>
          <rPr>
            <sz val="9"/>
            <color indexed="81"/>
            <rFont val="Segoe UI"/>
            <family val="2"/>
          </rPr>
          <t xml:space="preserve">
Mal by byť určený väčí detail požiadvaky tak, aby bolo jasné o čo sa v danej požiadavke jedná. 
Tento popis bude následne dôležitý aj pre proces verejného obstarávania ako aj pre procesy dodávky, akceptácie a testovania daných požiadaviek</t>
        </r>
      </text>
    </comment>
    <comment ref="F2" authorId="0" shapeId="0" xr:uid="{00000000-0006-0000-0B00-000006000000}">
      <text>
        <r>
          <rPr>
            <b/>
            <sz val="9"/>
            <color indexed="81"/>
            <rFont val="Segoe UI"/>
            <family val="2"/>
          </rPr>
          <t>Author:</t>
        </r>
        <r>
          <rPr>
            <sz val="9"/>
            <color indexed="81"/>
            <rFont val="Segoe UI"/>
            <family val="2"/>
          </rPr>
          <t xml:space="preserve">
Mal by byť definovaný vlastník, ktorý je zodpovedný za definovanie danej požiadavky</t>
        </r>
      </text>
    </comment>
    <comment ref="G2" authorId="0" shapeId="0" xr:uid="{00000000-0006-0000-0B00-000007000000}">
      <text>
        <r>
          <rPr>
            <b/>
            <sz val="9"/>
            <color indexed="81"/>
            <rFont val="Segoe UI"/>
            <family val="2"/>
          </rPr>
          <t>Author:</t>
        </r>
        <r>
          <rPr>
            <sz val="9"/>
            <color indexed="81"/>
            <rFont val="Segoe UI"/>
            <family val="2"/>
          </rPr>
          <t xml:space="preserve">
V tejto časti vyberie žiadateľ, ku ktorému modulu sa požiadavka viaže. 
Ak jedna požiadavka patrí k viacerým modulom, je potrbené je zadefinovať viac krát.</t>
        </r>
      </text>
    </comment>
    <comment ref="H2" authorId="0" shapeId="0" xr:uid="{00000000-0006-0000-0B00-000008000000}">
      <text>
        <r>
          <rPr>
            <b/>
            <sz val="9"/>
            <color indexed="81"/>
            <rFont val="Segoe UI"/>
            <family val="2"/>
          </rPr>
          <t>Author:</t>
        </r>
        <r>
          <rPr>
            <sz val="9"/>
            <color indexed="81"/>
            <rFont val="Segoe UI"/>
            <family val="2"/>
          </rPr>
          <t xml:space="preserve">
Táto časť sa vypĺňa len pre funkčné požiadavky a predstavuje počet prístupových miest pre danú požiadavku:
- Call Centrum
- Integrované obslužné miesto
- Špecializovaný portál
- Klientske centrum štátnej správy
- Podateľná orgánu verenej moci
- Pracovicko OVM
- eGovApps na mobilných platformách
- GoTechApps – komerčné riešenie
- e-mail
- SMS
- Ústredný portál verejnej správy</t>
        </r>
      </text>
    </comment>
    <comment ref="I2" authorId="0" shapeId="0" xr:uid="{00000000-0006-0000-0B00-000009000000}">
      <text>
        <r>
          <rPr>
            <b/>
            <sz val="9"/>
            <color indexed="81"/>
            <rFont val="Segoe UI"/>
            <family val="2"/>
          </rPr>
          <t>Author:</t>
        </r>
        <r>
          <rPr>
            <sz val="9"/>
            <color indexed="81"/>
            <rFont val="Segoe UI"/>
            <family val="2"/>
          </rPr>
          <t xml:space="preserve">
Zložitosť požiadavky je vyjadrená hodnotami:
 - 5 - jednoduchá
 - 10 - priemerná
 - 15 - komplexná
Pričom detailné vysvetlenie je v časti Vývoj a úprava SW diela / Aplikácie</t>
        </r>
      </text>
    </comment>
    <comment ref="K2" authorId="0" shapeId="0" xr:uid="{00000000-0006-0000-0B00-00000A000000}">
      <text>
        <r>
          <rPr>
            <b/>
            <sz val="9"/>
            <color indexed="81"/>
            <rFont val="Segoe UI"/>
            <family val="2"/>
          </rPr>
          <t>Author:</t>
        </r>
        <r>
          <rPr>
            <sz val="9"/>
            <color indexed="81"/>
            <rFont val="Segoe UI"/>
            <family val="2"/>
          </rPr>
          <t xml:space="preserve">
Predstavuje súčim Poctu pristupovych kanalov a Zlozitosti poziadavky</t>
        </r>
      </text>
    </comment>
    <comment ref="L2" authorId="0" shapeId="0" xr:uid="{00000000-0006-0000-0B00-00000B000000}">
      <text>
        <r>
          <rPr>
            <b/>
            <sz val="9"/>
            <color indexed="81"/>
            <rFont val="Segoe UI"/>
            <family val="2"/>
          </rPr>
          <t>Author:</t>
        </r>
        <r>
          <rPr>
            <sz val="9"/>
            <color indexed="81"/>
            <rFont val="Segoe UI"/>
            <family val="2"/>
          </rPr>
          <t xml:space="preserve">
Dotiahnutá vážená hodnota UAW pre daný modul</t>
        </r>
      </text>
    </comment>
    <comment ref="M2" authorId="0" shapeId="0" xr:uid="{00000000-0006-0000-0B00-00000C000000}">
      <text>
        <r>
          <rPr>
            <b/>
            <sz val="9"/>
            <color indexed="81"/>
            <rFont val="Segoe UI"/>
            <family val="2"/>
          </rPr>
          <t>Author:</t>
        </r>
        <r>
          <rPr>
            <sz val="9"/>
            <color indexed="81"/>
            <rFont val="Segoe UI"/>
            <family val="2"/>
          </rPr>
          <t xml:space="preserve">
Dotiahntuá hodnota zo záložky Moduly pre daný modul</t>
        </r>
      </text>
    </comment>
    <comment ref="N2" authorId="0" shapeId="0" xr:uid="{00000000-0006-0000-0B00-00000D000000}">
      <text>
        <r>
          <rPr>
            <b/>
            <sz val="9"/>
            <color indexed="81"/>
            <rFont val="Segoe UI"/>
            <family val="2"/>
          </rPr>
          <t>Author:</t>
        </r>
        <r>
          <rPr>
            <sz val="9"/>
            <color indexed="81"/>
            <rFont val="Segoe UI"/>
            <family val="2"/>
          </rPr>
          <t xml:space="preserve">
Dotiahntuá hodnota zo záložky Moduly pre daný modul</t>
        </r>
      </text>
    </comment>
    <comment ref="O2" authorId="0" shapeId="0" xr:uid="{00000000-0006-0000-0B00-00000E000000}">
      <text>
        <r>
          <rPr>
            <b/>
            <sz val="9"/>
            <color indexed="81"/>
            <rFont val="Segoe UI"/>
            <family val="2"/>
          </rPr>
          <t>Author:</t>
        </r>
        <r>
          <rPr>
            <sz val="9"/>
            <color indexed="81"/>
            <rFont val="Segoe UI"/>
            <family val="2"/>
          </rPr>
          <t xml:space="preserve">
Jedná sa o výpočet počtu Bodov Prípadov použitia, ktorý je základným faktorom pre výpočet následnej náročnosti, pričom výpočet je nasledovny:
(Zlozitost + UAW) * ECF * TCF</t>
        </r>
      </text>
    </comment>
    <comment ref="P2" authorId="0" shapeId="0" xr:uid="{00000000-0006-0000-0B00-00000F000000}">
      <text>
        <r>
          <rPr>
            <b/>
            <sz val="9"/>
            <color indexed="81"/>
            <rFont val="Segoe UI"/>
            <family val="2"/>
          </rPr>
          <t>Author:</t>
        </r>
        <r>
          <rPr>
            <sz val="9"/>
            <color indexed="81"/>
            <rFont val="Segoe UI"/>
            <family val="2"/>
          </rPr>
          <t xml:space="preserve">
Jedná sa o hodinovú náročnosť implementácie danej požiadavky, pričom je hdonota UCP prenásobená PF stanoveným pra daný modul</t>
        </r>
      </text>
    </comment>
    <comment ref="Q2" authorId="0" shapeId="0" xr:uid="{00000000-0006-0000-0B00-000010000000}">
      <text>
        <r>
          <rPr>
            <b/>
            <sz val="9"/>
            <color indexed="81"/>
            <rFont val="Segoe UI"/>
            <family val="2"/>
          </rPr>
          <t>Author:</t>
        </r>
        <r>
          <rPr>
            <sz val="9"/>
            <color indexed="81"/>
            <rFont val="Segoe UI"/>
            <family val="2"/>
          </rPr>
          <t xml:space="preserve">
Je automaticky dotihanutá hodnota inkrementu pre daný modul ku každej požiadavke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0C00-000001000000}">
      <text>
        <r>
          <rPr>
            <b/>
            <sz val="9"/>
            <color indexed="81"/>
            <rFont val="Segoe UI"/>
            <family val="2"/>
          </rPr>
          <t>Author:</t>
        </r>
        <r>
          <rPr>
            <sz val="9"/>
            <color indexed="81"/>
            <rFont val="Segoe UI"/>
            <family val="2"/>
          </rPr>
          <t xml:space="preserve">
Pre každý faktor je ptorebné stanoviť hodnotu z nasledovného rozsahu:
 - 0 - parameter je irelevantný pre projekt
 - 1 - parameter je veľmi málo dôležitý pre projekt
 - 2 - parameter je primerane dôležitý pre projekt
 - 3 - parameter je priemerne dôležitý pre projekt
 - 4 - parameter má viac ako priemernú dôležitosť ale nie je esenciálny
 - 5 - parameter je esenciálny pre projekt</t>
        </r>
      </text>
    </comment>
    <comment ref="F4" authorId="0" shapeId="0" xr:uid="{00000000-0006-0000-0C00-000002000000}">
      <text>
        <r>
          <rPr>
            <b/>
            <sz val="9"/>
            <color indexed="81"/>
            <rFont val="Segoe UI"/>
            <family val="2"/>
          </rPr>
          <t>Author:</t>
        </r>
        <r>
          <rPr>
            <sz val="9"/>
            <color indexed="81"/>
            <rFont val="Segoe UI"/>
            <family val="2"/>
          </rPr>
          <t xml:space="preserve">
Jedná sa o výber hodnoty váhy parametera pre projekt</t>
        </r>
      </text>
    </comment>
    <comment ref="A5" authorId="0" shapeId="0" xr:uid="{00000000-0006-0000-0C00-000003000000}">
      <text>
        <r>
          <rPr>
            <b/>
            <sz val="9"/>
            <color indexed="81"/>
            <rFont val="Segoe UI"/>
            <family val="2"/>
          </rPr>
          <t>Author:</t>
        </r>
        <r>
          <rPr>
            <sz val="9"/>
            <color indexed="81"/>
            <rFont val="Segoe UI"/>
            <family val="2"/>
          </rPr>
          <t xml:space="preserve">
PJe architektúra systému distribuovaná alebo centralizovaná?</t>
        </r>
      </text>
    </comment>
    <comment ref="B5" authorId="0" shapeId="0" xr:uid="{00000000-0006-0000-0C00-000004000000}">
      <text>
        <r>
          <rPr>
            <b/>
            <sz val="9"/>
            <color indexed="81"/>
            <rFont val="Segoe UI"/>
            <family val="2"/>
          </rPr>
          <t>Author:</t>
        </r>
        <r>
          <rPr>
            <sz val="9"/>
            <color indexed="81"/>
            <rFont val="Segoe UI"/>
            <family val="2"/>
          </rPr>
          <t xml:space="preserve">
Detail jednotlivých parametrov je popísaný v časti Metodika Príloha č. 1 – Technické faktory</t>
        </r>
      </text>
    </comment>
    <comment ref="A6" authorId="0" shapeId="0" xr:uid="{00000000-0006-0000-0C00-000005000000}">
      <text>
        <r>
          <rPr>
            <b/>
            <sz val="9"/>
            <color indexed="81"/>
            <rFont val="Segoe UI"/>
            <family val="2"/>
          </rPr>
          <t>Author:</t>
        </r>
        <r>
          <rPr>
            <sz val="9"/>
            <color indexed="81"/>
            <rFont val="Segoe UI"/>
            <family val="2"/>
          </rPr>
          <t xml:space="preserve">
Aký význam má časť odozvy aplikácie pre jej užívateľov?</t>
        </r>
      </text>
    </comment>
    <comment ref="A7" authorId="0" shapeId="0" xr:uid="{00000000-0006-0000-0C00-000006000000}">
      <text>
        <r>
          <rPr>
            <b/>
            <sz val="9"/>
            <color indexed="81"/>
            <rFont val="Segoe UI"/>
            <family val="2"/>
          </rPr>
          <t>Author:</t>
        </r>
        <r>
          <rPr>
            <sz val="9"/>
            <color indexed="81"/>
            <rFont val="Segoe UI"/>
            <family val="2"/>
          </rPr>
          <t xml:space="preserve">
Je aplikácia navrhnutá tak, aby umožňovala konečným používateľom vykonávať len svoju prácu alebo je určená na zvýšenie ich efektívnosti?</t>
        </r>
      </text>
    </comment>
    <comment ref="A8" authorId="0" shapeId="0" xr:uid="{00000000-0006-0000-0C00-000007000000}">
      <text>
        <r>
          <rPr>
            <b/>
            <sz val="9"/>
            <color indexed="81"/>
            <rFont val="Segoe UI"/>
            <family val="2"/>
          </rPr>
          <t>Author:</t>
        </r>
        <r>
          <rPr>
            <sz val="9"/>
            <color indexed="81"/>
            <rFont val="Segoe UI"/>
            <family val="2"/>
          </rPr>
          <t xml:space="preserve">
Potrebuje aplikácia zložité algoritmy?</t>
        </r>
      </text>
    </comment>
    <comment ref="A9" authorId="0" shapeId="0" xr:uid="{00000000-0006-0000-0C00-000008000000}">
      <text>
        <r>
          <rPr>
            <b/>
            <sz val="9"/>
            <color indexed="81"/>
            <rFont val="Segoe UI"/>
            <family val="2"/>
          </rPr>
          <t>Author:</t>
        </r>
        <r>
          <rPr>
            <sz val="9"/>
            <color indexed="81"/>
            <rFont val="Segoe UI"/>
            <family val="2"/>
          </rPr>
          <t xml:space="preserve">
Je aplikácia navrhnutá tak, aby jej kód a artefakty boli vysoko znovu použiteľné?</t>
        </r>
      </text>
    </comment>
    <comment ref="A10" authorId="0" shapeId="0" xr:uid="{00000000-0006-0000-0C00-000009000000}">
      <text>
        <r>
          <rPr>
            <b/>
            <sz val="9"/>
            <color indexed="81"/>
            <rFont val="Segoe UI"/>
            <family val="2"/>
          </rPr>
          <t>Author:</t>
        </r>
        <r>
          <rPr>
            <sz val="9"/>
            <color indexed="81"/>
            <rFont val="Segoe UI"/>
            <family val="2"/>
          </rPr>
          <t xml:space="preserve">
Bude aplikácia navrhnutá tak, aby bola jej inštalácia automatická (napríklad v prípade používateľov s nízkou alebo neznámou technickou kapacitou), alebo je tento parameter bezpredmetný?</t>
        </r>
      </text>
    </comment>
    <comment ref="A11" authorId="0" shapeId="0" xr:uid="{00000000-0006-0000-0C00-00000A000000}">
      <text>
        <r>
          <rPr>
            <b/>
            <sz val="9"/>
            <color indexed="81"/>
            <rFont val="Segoe UI"/>
            <family val="2"/>
          </rPr>
          <t>Author:</t>
        </r>
        <r>
          <rPr>
            <sz val="9"/>
            <color indexed="81"/>
            <rFont val="Segoe UI"/>
            <family val="2"/>
          </rPr>
          <t xml:space="preserve">
Existujú špeciálne požiadavky týkajúce sa fungovania systému?</t>
        </r>
      </text>
    </comment>
    <comment ref="A12" authorId="0" shapeId="0" xr:uid="{00000000-0006-0000-0C00-00000B000000}">
      <text>
        <r>
          <rPr>
            <b/>
            <sz val="9"/>
            <color indexed="81"/>
            <rFont val="Segoe UI"/>
            <family val="2"/>
          </rPr>
          <t>Author:</t>
        </r>
        <r>
          <rPr>
            <sz val="9"/>
            <color indexed="81"/>
            <rFont val="Segoe UI"/>
            <family val="2"/>
          </rPr>
          <t xml:space="preserve">
Je aplikácia alebo jej časti určená na prácu na viacerých platformách?</t>
        </r>
      </text>
    </comment>
    <comment ref="A13" authorId="0" shapeId="0" xr:uid="{00000000-0006-0000-0C00-00000C000000}">
      <text>
        <r>
          <rPr>
            <b/>
            <sz val="9"/>
            <color indexed="81"/>
            <rFont val="Segoe UI"/>
            <family val="2"/>
          </rPr>
          <t>Author:</t>
        </r>
        <r>
          <rPr>
            <sz val="9"/>
            <color indexed="81"/>
            <rFont val="Segoe UI"/>
            <family val="2"/>
          </rPr>
          <t xml:space="preserve">
Vyžaduje klient, aby sa aplikácia dala v budúcnosti ľahko meniť?</t>
        </r>
      </text>
    </comment>
    <comment ref="A14" authorId="0" shapeId="0" xr:uid="{00000000-0006-0000-0C00-00000D000000}">
      <text>
        <r>
          <rPr>
            <b/>
            <sz val="9"/>
            <color indexed="81"/>
            <rFont val="Segoe UI"/>
            <family val="2"/>
          </rPr>
          <t>Author:</t>
        </r>
        <r>
          <rPr>
            <sz val="9"/>
            <color indexed="81"/>
            <rFont val="Segoe UI"/>
            <family val="2"/>
          </rPr>
          <t xml:space="preserve">
Musí byť aplikácia navrhnutá tak, aby dokázala čeliť problémom súvisiacim so súbežnosťou, ako sú napríklad zdieľanie údajov a zdrojov?</t>
        </r>
      </text>
    </comment>
    <comment ref="A15" authorId="0" shapeId="0" xr:uid="{00000000-0006-0000-0C00-00000E000000}">
      <text>
        <r>
          <rPr>
            <b/>
            <sz val="9"/>
            <color indexed="81"/>
            <rFont val="Segoe UI"/>
            <family val="2"/>
          </rPr>
          <t>Author:</t>
        </r>
        <r>
          <rPr>
            <sz val="9"/>
            <color indexed="81"/>
            <rFont val="Segoe UI"/>
            <family val="2"/>
          </rPr>
          <t xml:space="preserve">
Sú potreby zabezpečenia iba nominálne alebo je potrebný špeciálny dizajn a ďalšie špecifikácie?</t>
        </r>
      </text>
    </comment>
    <comment ref="A16" authorId="0" shapeId="0" xr:uid="{00000000-0006-0000-0C00-00000F000000}">
      <text>
        <r>
          <rPr>
            <b/>
            <sz val="9"/>
            <color indexed="81"/>
            <rFont val="Segoe UI"/>
            <family val="2"/>
          </rPr>
          <t>Author:</t>
        </r>
        <r>
          <rPr>
            <sz val="9"/>
            <color indexed="81"/>
            <rFont val="Segoe UI"/>
            <family val="2"/>
          </rPr>
          <t xml:space="preserve">
Bude aplikácia používať kód, ktorý už bol vyvinutý, napríklad komerčné komponenty, rámce alebo knižnice? Vysoké opätovné použitie kvalitného softvéru znižuje hodnotu tejto položky, pretože si vyžaduje menšie vývojové úsilie.</t>
        </r>
      </text>
    </comment>
    <comment ref="A17" authorId="0" shapeId="0" xr:uid="{00000000-0006-0000-0C00-000010000000}">
      <text>
        <r>
          <rPr>
            <b/>
            <sz val="9"/>
            <color indexed="81"/>
            <rFont val="Segoe UI"/>
            <family val="2"/>
          </rPr>
          <t>Author:</t>
        </r>
        <r>
          <rPr>
            <sz val="9"/>
            <color indexed="81"/>
            <rFont val="Segoe UI"/>
            <family val="2"/>
          </rPr>
          <t xml:space="preserve">
Bude sa aplikácia ľahko používať alebo sa musí budúcim používateľom poskytnúť rozsiahle školenie?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 authorId="0" shapeId="0" xr:uid="{00000000-0006-0000-0D00-000001000000}">
      <text>
        <r>
          <rPr>
            <b/>
            <sz val="9"/>
            <color indexed="81"/>
            <rFont val="Segoe UI"/>
            <family val="2"/>
          </rPr>
          <t>Author:</t>
        </r>
        <r>
          <rPr>
            <sz val="9"/>
            <color indexed="81"/>
            <rFont val="Segoe UI"/>
            <family val="2"/>
          </rPr>
          <t xml:space="preserve">
Pre každý faktor je ptorebné stanoviť hodnotu z nasledovného rozsahu:
 - 0 - parameter je irelevantný pre projekt
 - 1 - parameter je veľmi málo dôležitý pre projekt
 - 2 - parameter je primerane dôležitý pre projekt
 - 3 - parameter je priemerne dôležitý pre projekt
 - 4 - parameter má viac ako priemernú dôležitosť ale nie je esenciálny
 - 5 - parameter je esenciálny pre projekt</t>
        </r>
      </text>
    </comment>
    <comment ref="F4" authorId="0" shapeId="0" xr:uid="{00000000-0006-0000-0D00-000002000000}">
      <text>
        <r>
          <rPr>
            <b/>
            <sz val="9"/>
            <color indexed="81"/>
            <rFont val="Segoe UI"/>
            <family val="2"/>
          </rPr>
          <t>Author:</t>
        </r>
        <r>
          <rPr>
            <sz val="9"/>
            <color indexed="81"/>
            <rFont val="Segoe UI"/>
            <family val="2"/>
          </rPr>
          <t xml:space="preserve">
Jedná sa o výber hodnoty váhy parametera pre projekt</t>
        </r>
      </text>
    </comment>
    <comment ref="A5" authorId="0" shapeId="0" xr:uid="{00000000-0006-0000-0D00-000003000000}">
      <text>
        <r>
          <rPr>
            <b/>
            <sz val="9"/>
            <color indexed="81"/>
            <rFont val="Segoe UI"/>
            <family val="2"/>
          </rPr>
          <t>Author:</t>
        </r>
        <r>
          <rPr>
            <sz val="9"/>
            <color indexed="81"/>
            <rFont val="Segoe UI"/>
            <family val="2"/>
          </rPr>
          <t xml:space="preserve">
Tento faktor hodnotí skúsenosti tímu (externy alebo interny podla typu inmplementacie) s vývojovým procesom, ktorý používajú.</t>
        </r>
      </text>
    </comment>
    <comment ref="B5" authorId="0" shapeId="0" xr:uid="{00000000-0006-0000-0D00-000004000000}">
      <text>
        <r>
          <rPr>
            <b/>
            <sz val="9"/>
            <color indexed="81"/>
            <rFont val="Segoe UI"/>
            <family val="2"/>
          </rPr>
          <t>Author:</t>
        </r>
        <r>
          <rPr>
            <sz val="9"/>
            <color indexed="81"/>
            <rFont val="Segoe UI"/>
            <family val="2"/>
          </rPr>
          <t xml:space="preserve">
Detail jednotlivých parametrov je popísaný v časti Metodika Príloha č. 2 – Environmentálne faktory</t>
        </r>
      </text>
    </comment>
    <comment ref="A6" authorId="0" shapeId="0" xr:uid="{00000000-0006-0000-0D00-000005000000}">
      <text>
        <r>
          <rPr>
            <b/>
            <sz val="9"/>
            <color indexed="81"/>
            <rFont val="Segoe UI"/>
            <family val="2"/>
          </rPr>
          <t>Author:</t>
        </r>
        <r>
          <rPr>
            <sz val="9"/>
            <color indexed="81"/>
            <rFont val="Segoe UI"/>
            <family val="2"/>
          </rPr>
          <t xml:space="preserve">
Tento faktor hodnotí znalosť tímu s oblasťou alebo doménou aplikácie. Napríklad ak sa aplikácia týka elektronického obchodu, pracoval už tím so systémami v rovnakej oblasti?</t>
        </r>
      </text>
    </comment>
    <comment ref="A7" authorId="0" shapeId="0" xr:uid="{00000000-0006-0000-0D00-000006000000}">
      <text>
        <r>
          <rPr>
            <b/>
            <sz val="9"/>
            <color indexed="81"/>
            <rFont val="Segoe UI"/>
            <family val="2"/>
          </rPr>
          <t>Author:</t>
        </r>
        <r>
          <rPr>
            <sz val="9"/>
            <color indexed="81"/>
            <rFont val="Segoe UI"/>
            <family val="2"/>
          </rPr>
          <t xml:space="preserve">
Tento faktor si nemožno zamieňať ani so znalosťou procesu vývoja (E1), ani so skúsenosťami s aplikáciou (E4): jedná sa o skúsenosti tímu s uskutočňovaním objektovo-orientovanej analýzy, modelovania, návrhu a programovania, nezávisle od aplikačnej oblasti a použitý vývojový proces.</t>
        </r>
      </text>
    </comment>
    <comment ref="A8" authorId="0" shapeId="0" xr:uid="{00000000-0006-0000-0D00-000007000000}">
      <text>
        <r>
          <rPr>
            <b/>
            <sz val="9"/>
            <color indexed="81"/>
            <rFont val="Segoe UI"/>
            <family val="2"/>
          </rPr>
          <t>Author:</t>
        </r>
        <r>
          <rPr>
            <sz val="9"/>
            <color indexed="81"/>
            <rFont val="Segoe UI"/>
            <family val="2"/>
          </rPr>
          <t xml:space="preserve">
Tento faktor meria skúsenosti vedúceho analytika s analýzou požiadaviek a objektovo orientovaným modelovaním.</t>
        </r>
      </text>
    </comment>
    <comment ref="A9" authorId="0" shapeId="0" xr:uid="{00000000-0006-0000-0D00-000008000000}">
      <text>
        <r>
          <rPr>
            <b/>
            <sz val="9"/>
            <color indexed="81"/>
            <rFont val="Segoe UI"/>
            <family val="2"/>
          </rPr>
          <t>Author:</t>
        </r>
        <r>
          <rPr>
            <sz val="9"/>
            <color indexed="81"/>
            <rFont val="Segoe UI"/>
            <family val="2"/>
          </rPr>
          <t xml:space="preserve">
Tento faktor popisuje motiváciu tímu.</t>
        </r>
      </text>
    </comment>
    <comment ref="A10" authorId="0" shapeId="0" xr:uid="{00000000-0006-0000-0D00-000009000000}">
      <text>
        <r>
          <rPr>
            <b/>
            <sz val="9"/>
            <color indexed="81"/>
            <rFont val="Segoe UI"/>
            <family val="2"/>
          </rPr>
          <t>Author:</t>
        </r>
        <r>
          <rPr>
            <sz val="9"/>
            <color indexed="81"/>
            <rFont val="Segoe UI"/>
            <family val="2"/>
          </rPr>
          <t xml:space="preserve">
Tento faktor hodnotí, či bol tím schopný udržať požiadavky stabilné v minulých projektoch a minimalizovať ich zmeny v priebehu projektu. Tento faktor sa môže líšiť od projektu k projektu, pretože existujú domény, kde sa požiadavky menia často nezávisle od kapacity analytikov. Tento faktor musí posudzovať iba zmeny softvéru, ktoré boli spôsobené neschopnosťou tímu zistiť správne požiadavky.</t>
        </r>
      </text>
    </comment>
    <comment ref="A11" authorId="0" shapeId="0" xr:uid="{00000000-0006-0000-0D00-00000A000000}">
      <text>
        <r>
          <rPr>
            <b/>
            <sz val="9"/>
            <color indexed="81"/>
            <rFont val="Segoe UI"/>
            <family val="2"/>
          </rPr>
          <t>Author:</t>
        </r>
        <r>
          <rPr>
            <sz val="9"/>
            <color indexed="81"/>
            <rFont val="Segoe UI"/>
            <family val="2"/>
          </rPr>
          <t xml:space="preserve">
Toto je negatívny faktor, to znamená, že na rozdiel od ostatných faktorov tu vyššie hodnoty znamenajú viac času na vývoj, nie menej. Tím s mnohými členmi zapojenými do iných projektov alebo aktivít je menej produktívny ako špecializovaný tím.</t>
        </r>
      </text>
    </comment>
    <comment ref="A12" authorId="0" shapeId="0" xr:uid="{00000000-0006-0000-0D00-00000B000000}">
      <text>
        <r>
          <rPr>
            <b/>
            <sz val="9"/>
            <color indexed="81"/>
            <rFont val="Segoe UI"/>
            <family val="2"/>
          </rPr>
          <t>Author:</t>
        </r>
        <r>
          <rPr>
            <sz val="9"/>
            <color indexed="81"/>
            <rFont val="Segoe UI"/>
            <family val="2"/>
          </rPr>
          <t xml:space="preserve">
Toto je ďalší negatívny faktor, čo znamená, že vysoké hodnoty tu nie sú dobré pre vývojový čas.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1" authorId="0" shapeId="0" xr:uid="{00000000-0006-0000-0E00-000001000000}">
      <text>
        <r>
          <rPr>
            <b/>
            <sz val="9"/>
            <color indexed="81"/>
            <rFont val="Segoe UI"/>
            <family val="2"/>
          </rPr>
          <t>Author:</t>
        </r>
        <r>
          <rPr>
            <sz val="9"/>
            <color indexed="81"/>
            <rFont val="Segoe UI"/>
            <family val="2"/>
          </rPr>
          <t xml:space="preserve">
Je potrebné definovať užívateľa projektu, pričom užívateľom môže byť aj informačný systém.
V prípade potreby je možné prostredníctvom komentáru popísať o akého užívateľa alebo o koľko typov daného užívateľa sa jedná</t>
        </r>
      </text>
    </comment>
    <comment ref="B2" authorId="0" shapeId="0" xr:uid="{00000000-0006-0000-0E00-000002000000}">
      <text>
        <r>
          <rPr>
            <b/>
            <sz val="9"/>
            <color indexed="81"/>
            <rFont val="Segoe UI"/>
            <family val="2"/>
          </rPr>
          <t>Author:</t>
        </r>
        <r>
          <rPr>
            <sz val="9"/>
            <color indexed="81"/>
            <rFont val="Segoe UI"/>
            <family val="2"/>
          </rPr>
          <t xml:space="preserve">
Typ užívateľa sa vyberá z preddefinvoaného čísleníka, pričom sú takto užívatelia zaradený do homogénnych skupín</t>
        </r>
      </text>
    </comment>
    <comment ref="B3" authorId="0" shapeId="0" xr:uid="{00000000-0006-0000-0E00-000003000000}">
      <text>
        <r>
          <rPr>
            <b/>
            <sz val="9"/>
            <color indexed="81"/>
            <rFont val="Segoe UI"/>
            <family val="2"/>
          </rPr>
          <t>Author:</t>
        </r>
        <r>
          <rPr>
            <sz val="9"/>
            <color indexed="81"/>
            <rFont val="Segoe UI"/>
            <family val="2"/>
          </rPr>
          <t xml:space="preserve">
Jedná sa o stanovenie hodnoty zložitosti daného užívateľa pričom detailné vysvetlenie je v časti Metodiky - UAW</t>
        </r>
      </text>
    </comment>
    <comment ref="B4" authorId="0" shapeId="0" xr:uid="{00000000-0006-0000-0E00-000004000000}">
      <text>
        <r>
          <rPr>
            <b/>
            <sz val="9"/>
            <color indexed="81"/>
            <rFont val="Segoe UI"/>
            <family val="2"/>
          </rPr>
          <t>Author:</t>
        </r>
        <r>
          <rPr>
            <sz val="9"/>
            <color indexed="81"/>
            <rFont val="Segoe UI"/>
            <family val="2"/>
          </rPr>
          <t xml:space="preserve">
Jedná sa o stanovenie typového počtu daného užívateľa. Napr. v prípade ak je užívateľom občan, tak počet nie je 5 miliónov ale počet typov občanov.</t>
        </r>
      </text>
    </comment>
    <comment ref="B5" authorId="0" shapeId="0" xr:uid="{00000000-0006-0000-0E00-000005000000}">
      <text>
        <r>
          <rPr>
            <b/>
            <sz val="9"/>
            <color indexed="81"/>
            <rFont val="Segoe UI"/>
            <family val="2"/>
          </rPr>
          <t>Author:</t>
        </r>
        <r>
          <rPr>
            <sz val="9"/>
            <color indexed="81"/>
            <rFont val="Segoe UI"/>
            <family val="2"/>
          </rPr>
          <t xml:space="preserve">
Jedná sa o násobok medzi zložitosťou a Počtom užívateľov.</t>
        </r>
      </text>
    </comment>
    <comment ref="B6" authorId="0" shapeId="0" xr:uid="{00000000-0006-0000-0E00-000006000000}">
      <text>
        <r>
          <rPr>
            <b/>
            <sz val="9"/>
            <color indexed="81"/>
            <rFont val="Segoe UI"/>
            <family val="2"/>
          </rPr>
          <t>Author:</t>
        </r>
        <r>
          <rPr>
            <sz val="9"/>
            <color indexed="81"/>
            <rFont val="Segoe UI"/>
            <family val="2"/>
          </rPr>
          <t xml:space="preserve">
Pre každý modul pre prepočítaná váha užívateľov, ktorá je transformvoaná do záložky MODULY a následne do katalógu požiadaviek, k daným funkčným požiadavkám</t>
        </r>
      </text>
    </comment>
    <comment ref="C6" authorId="0" shapeId="0" xr:uid="{00000000-0006-0000-0E00-000007000000}">
      <text>
        <r>
          <rPr>
            <b/>
            <sz val="9"/>
            <color indexed="81"/>
            <rFont val="Segoe UI"/>
            <family val="2"/>
          </rPr>
          <t>Author:</t>
        </r>
        <r>
          <rPr>
            <sz val="9"/>
            <color indexed="81"/>
            <rFont val="Segoe UI"/>
            <family val="2"/>
          </rPr>
          <t xml:space="preserve">
Následne je potrebné stanoviť, pre ktorý modul je daný užívateľ relevantný. 
Ak je pre modul relevantný, zadaj v danej bunke hodnoru 1. 
Ak je irelevantný, bunka ostane prázdna</t>
        </r>
      </text>
    </comment>
    <comment ref="D6" authorId="0" shapeId="0" xr:uid="{00000000-0006-0000-0E00-000008000000}">
      <text>
        <r>
          <rPr>
            <b/>
            <sz val="9"/>
            <color indexed="81"/>
            <rFont val="Segoe UI"/>
            <family val="2"/>
          </rPr>
          <t>Author:</t>
        </r>
        <r>
          <rPr>
            <sz val="9"/>
            <color indexed="81"/>
            <rFont val="Segoe UI"/>
            <family val="2"/>
          </rPr>
          <t xml:space="preserve">
Následne je potrebné stanoviť, pre ktorý modul je daný užívateľ relevantný. 
Ak je pre modul relevantný, zadaj v danej bunke hodnoru 1. 
Ak je irelevantný, bunka ostane prázdna</t>
        </r>
      </text>
    </comment>
    <comment ref="E6" authorId="0" shapeId="0" xr:uid="{00000000-0006-0000-0E00-000009000000}">
      <text>
        <r>
          <rPr>
            <b/>
            <sz val="9"/>
            <color indexed="81"/>
            <rFont val="Segoe UI"/>
            <family val="2"/>
          </rPr>
          <t>Author:</t>
        </r>
        <r>
          <rPr>
            <sz val="9"/>
            <color indexed="81"/>
            <rFont val="Segoe UI"/>
            <family val="2"/>
          </rPr>
          <t xml:space="preserve">
Následne je potrebné stanoviť, pre ktorý modul je daný užívateľ relevantný. 
Ak je pre modul relevantný, zadaj v danej bunke hodnoru 1. 
Ak je irelevantný, bunka ostane prázdna</t>
        </r>
      </text>
    </comment>
    <comment ref="C7" authorId="0" shapeId="0" xr:uid="{00000000-0006-0000-0E00-00000A000000}">
      <text>
        <r>
          <rPr>
            <b/>
            <sz val="9"/>
            <color indexed="81"/>
            <rFont val="Segoe UI"/>
            <family val="2"/>
          </rPr>
          <t>Author:</t>
        </r>
        <r>
          <rPr>
            <sz val="9"/>
            <color indexed="81"/>
            <rFont val="Segoe UI"/>
            <family val="2"/>
          </rPr>
          <t xml:space="preserve">
Následne je potrebné stanoviť, pre ktorý modul je daný užívateľ relevantný. 
Ak je pre modul relevantný, zadaj v danej bunke hodnoru 1. 
Ak je irelevantný, bunka ostane prázdna</t>
        </r>
      </text>
    </comment>
    <comment ref="D7" authorId="0" shapeId="0" xr:uid="{00000000-0006-0000-0E00-00000B000000}">
      <text>
        <r>
          <rPr>
            <b/>
            <sz val="9"/>
            <color indexed="81"/>
            <rFont val="Segoe UI"/>
            <family val="2"/>
          </rPr>
          <t>Author:</t>
        </r>
        <r>
          <rPr>
            <sz val="9"/>
            <color indexed="81"/>
            <rFont val="Segoe UI"/>
            <family val="2"/>
          </rPr>
          <t xml:space="preserve">
Následne je potrebné stanoviť, pre ktorý modul je daný užívateľ relevantný. 
Ak je pre modul relevantný, zadaj v danej bunke hodnoru 1. 
Ak je irelevantný, bunka ostane prázdna</t>
        </r>
      </text>
    </comment>
    <comment ref="E7" authorId="0" shapeId="0" xr:uid="{00000000-0006-0000-0E00-00000C000000}">
      <text>
        <r>
          <rPr>
            <b/>
            <sz val="9"/>
            <color indexed="81"/>
            <rFont val="Segoe UI"/>
            <family val="2"/>
          </rPr>
          <t>Author:</t>
        </r>
        <r>
          <rPr>
            <sz val="9"/>
            <color indexed="81"/>
            <rFont val="Segoe UI"/>
            <family val="2"/>
          </rPr>
          <t xml:space="preserve">
Následne je potrebné stanoviť, pre ktorý modul je daný užívateľ relevantný. 
Ak je pre modul relevantný, zadaj v danej bunke hodnoru 1. 
Ak je irelevantný, bunka ostane prázdna</t>
        </r>
      </text>
    </comment>
    <comment ref="C8" authorId="0" shapeId="0" xr:uid="{00000000-0006-0000-0E00-00000D000000}">
      <text>
        <r>
          <rPr>
            <b/>
            <sz val="9"/>
            <color indexed="81"/>
            <rFont val="Segoe UI"/>
            <family val="2"/>
          </rPr>
          <t>Author:</t>
        </r>
        <r>
          <rPr>
            <sz val="9"/>
            <color indexed="81"/>
            <rFont val="Segoe UI"/>
            <family val="2"/>
          </rPr>
          <t xml:space="preserve">
Následne je potrebné stanoviť, pre ktorý modul je daný užívateľ relevantný. 
Ak je pre modul relevantný, zadaj v danej bunke hodnoru 1. 
Ak je irelevantný, bunka ostane prázdna</t>
        </r>
      </text>
    </comment>
    <comment ref="D8" authorId="0" shapeId="0" xr:uid="{00000000-0006-0000-0E00-00000E000000}">
      <text>
        <r>
          <rPr>
            <b/>
            <sz val="9"/>
            <color indexed="81"/>
            <rFont val="Segoe UI"/>
            <family val="2"/>
          </rPr>
          <t>Author:</t>
        </r>
        <r>
          <rPr>
            <sz val="9"/>
            <color indexed="81"/>
            <rFont val="Segoe UI"/>
            <family val="2"/>
          </rPr>
          <t xml:space="preserve">
Následne je potrebné stanoviť, pre ktorý modul je daný užívateľ relevantný. 
Ak je pre modul relevantný, zadaj v danej bunke hodnoru 1. 
Ak je irelevantný, bunka ostane prázdna</t>
        </r>
      </text>
    </comment>
    <comment ref="E8" authorId="0" shapeId="0" xr:uid="{00000000-0006-0000-0E00-00000F000000}">
      <text>
        <r>
          <rPr>
            <b/>
            <sz val="9"/>
            <color indexed="81"/>
            <rFont val="Segoe UI"/>
            <family val="2"/>
          </rPr>
          <t>Author:</t>
        </r>
        <r>
          <rPr>
            <sz val="9"/>
            <color indexed="81"/>
            <rFont val="Segoe UI"/>
            <family val="2"/>
          </rPr>
          <t xml:space="preserve">
Následne je potrebné stanoviť, pre ktorý modul je daný užívateľ relevantný. 
Ak je pre modul relevantný, zadaj v danej bunke hodnoru 1. 
Ak je irelevantný, bunka ostane prázdna</t>
        </r>
      </text>
    </comment>
  </commentList>
</comments>
</file>

<file path=xl/sharedStrings.xml><?xml version="1.0" encoding="utf-8"?>
<sst xmlns="http://schemas.openxmlformats.org/spreadsheetml/2006/main" count="3396" uniqueCount="1105">
  <si>
    <t>Názov</t>
  </si>
  <si>
    <t>Popis</t>
  </si>
  <si>
    <t>Hodnota</t>
  </si>
  <si>
    <t>Životnosť projektu (t)</t>
  </si>
  <si>
    <t>Referenčné obdobie je počet rokov, na ktorý sa vo finančnej analýze (analýze nákladov a výnosov) uvádzajú predpovede. Predpovede týkajúce sa budúceho trendu projektu by sa mali formulovať na obdobie, ktoré je primerané jeho ekonomicky užitočnému trvaniu a ktoré je dosť dlhé na to, aby zahŕňalo jeho pravdepodobné dlhodobejšie dosahy. Ide o časové obdobie, kedy je možné overiť úspešnosť investície. Trvanie sa mení podľa povahy investície. Referenčný časový horizont v rokoch podľa sektorov je uvedený podľa prílohy 1 Delegovaného nariadenia Komisie (EÚ) 480/2014 z 3. marca 2014, ktorým sa dopĺňa všeobecné nariadenie.</t>
  </si>
  <si>
    <t>Referenčná diskontná sadzba (i)</t>
  </si>
  <si>
    <t>Sociálna diskontná sadzba (r)</t>
  </si>
  <si>
    <t>Cieľom CBA je preukázať pri štrukturálne významných investíciách, že ekonomická čistá súčasná hodnota za dané obdobie a pri stanovenej sociálnej diskontnej sadzbe je kladná.</t>
  </si>
  <si>
    <t>Diskontovanie odhadovaných nákladov a prínosov: keď sa odhadne tok ekonomických nákladov a prínosov, mala by sa uplatniť štandardná diskontovaná metodika peňažného toku pomocou sociálnej diskontnej sadzby</t>
  </si>
  <si>
    <t>Osobné náklady (Cper)</t>
  </si>
  <si>
    <t>Jednotka</t>
  </si>
  <si>
    <t>rok</t>
  </si>
  <si>
    <t>%</t>
  </si>
  <si>
    <t>EUR</t>
  </si>
  <si>
    <t xml:space="preserve">Diskontná sadzba, ktorá sa má používať vo finančnej analýze má informovať investora o alternatívnych kapitálových nákladoch. Môže sa za ňu považovať ušlý výnos najlepšieho alternatívneho projektu.
V prípade verejných investičných projektov spolufinancovaných z fondov sa stanovuje 4 % finančná diskontná sadzbu pre výpočet čistej súčasnej hodnoty investície v stálych cenách roku predloženia žiadosti o NFP.
</t>
  </si>
  <si>
    <t>EUR/hod</t>
  </si>
  <si>
    <t>Čistá súčasná hodnota z projektu</t>
  </si>
  <si>
    <t>Finančné prínosy</t>
  </si>
  <si>
    <t>Ekonomické prínosy</t>
  </si>
  <si>
    <t>koeficient obdobia</t>
  </si>
  <si>
    <t>Finančná (FNPV)</t>
  </si>
  <si>
    <t>Ekonomická (ENPV)</t>
  </si>
  <si>
    <t>Kumulovaná diskont. návratnosť ENPV</t>
  </si>
  <si>
    <t>Obdobie</t>
  </si>
  <si>
    <t>rozdiel</t>
  </si>
  <si>
    <t>t1</t>
  </si>
  <si>
    <t>t2</t>
  </si>
  <si>
    <t>t3</t>
  </si>
  <si>
    <t>t4</t>
  </si>
  <si>
    <t>t5</t>
  </si>
  <si>
    <t>t6</t>
  </si>
  <si>
    <t>t7</t>
  </si>
  <si>
    <t>t8</t>
  </si>
  <si>
    <t>t9</t>
  </si>
  <si>
    <t>t10</t>
  </si>
  <si>
    <t>SPOLU</t>
  </si>
  <si>
    <t>Cashflow projektu</t>
  </si>
  <si>
    <t>počet / rok</t>
  </si>
  <si>
    <t>hod.</t>
  </si>
  <si>
    <t>Kvalitatívne prínosy</t>
  </si>
  <si>
    <t>Parameter</t>
  </si>
  <si>
    <t>Počet podaní</t>
  </si>
  <si>
    <t>Výška administratívneho poplatku</t>
  </si>
  <si>
    <t>Počet zamestnancov vybavujúcich agendu</t>
  </si>
  <si>
    <t>Priame prínosy</t>
  </si>
  <si>
    <t>Nepriame prínosy</t>
  </si>
  <si>
    <t>Prínosy spolu</t>
  </si>
  <si>
    <t>Administratívne poplatky</t>
  </si>
  <si>
    <t>Ostatné daňové a nedaňové príjmy</t>
  </si>
  <si>
    <t>Cena ušetreného času používateľa</t>
  </si>
  <si>
    <t>Kvalitatívne prínosy vo finančnom vyjadrení</t>
  </si>
  <si>
    <t>Organizácia</t>
  </si>
  <si>
    <t>Ulica</t>
  </si>
  <si>
    <t>PSČ</t>
  </si>
  <si>
    <t>Web</t>
  </si>
  <si>
    <t>IČO</t>
  </si>
  <si>
    <t>Spracovateľ</t>
  </si>
  <si>
    <t xml:space="preserve">Kontakt na spracovateľa    </t>
  </si>
  <si>
    <t>Hlavička tabuľky</t>
  </si>
  <si>
    <t>Popisná informácia</t>
  </si>
  <si>
    <t>Jednotlivé informácie sú farebne odlíšené nasledovne:</t>
  </si>
  <si>
    <t>Automaticky vypočitavané hodnoty</t>
  </si>
  <si>
    <t>Miesto na vpisovanie vlastných hodnôt</t>
  </si>
  <si>
    <t>Preddefinované konštanty</t>
  </si>
  <si>
    <t>HW</t>
  </si>
  <si>
    <t>SW</t>
  </si>
  <si>
    <t>Všeobecný materiál</t>
  </si>
  <si>
    <t>Variabilné výdavky</t>
  </si>
  <si>
    <t>Výdavky spolu</t>
  </si>
  <si>
    <t>ENPV</t>
  </si>
  <si>
    <t>Obstaranie, inštalácia SW produktu vrátane licencie k SW</t>
  </si>
  <si>
    <t>013 Softvér</t>
  </si>
  <si>
    <t>Kód EKO klasifikácie</t>
  </si>
  <si>
    <t>Účet/skupina výdavkov</t>
  </si>
  <si>
    <t>Vytvorenie aplikácie</t>
  </si>
  <si>
    <t>Školenia spojené so SW a aplikáciou</t>
  </si>
  <si>
    <t>518 Ostatné služby</t>
  </si>
  <si>
    <t>Prevádzka vytvoreného riešenia</t>
  </si>
  <si>
    <t>Poplatky vlastníkovi SW produktu - údržba / support k licenciám</t>
  </si>
  <si>
    <t>511 Opravy a udržiavanie</t>
  </si>
  <si>
    <t>Upgrade SW produktu</t>
  </si>
  <si>
    <t>Poplatky za udržanie funkčnosti / dostupnosti aplikácie / update</t>
  </si>
  <si>
    <t>Aplikačná podpora / helpdesk</t>
  </si>
  <si>
    <t>Rozvoj - doplnenie funkcionality aplikácie / upgrade</t>
  </si>
  <si>
    <t>Personálne náklady spojené s prevádzkou SW produktu a aplikácie</t>
  </si>
  <si>
    <t>Obstaranie</t>
  </si>
  <si>
    <t>Prevádzka riešenia</t>
  </si>
  <si>
    <t>Nákup, inštalácia a sprevádzkovanie HW 
vrátane systémového SW</t>
  </si>
  <si>
    <t>Nákup, inštalácia a sprevádzkovanie HW
 vrátane systémového SW</t>
  </si>
  <si>
    <t>Školenia spojené s HW</t>
  </si>
  <si>
    <t>022 Samostatné hnuteľné veci
 a súbory hnuteľných vecí</t>
  </si>
  <si>
    <t>Poplatky dodávateľovi podpory HW - údržba/maintenance</t>
  </si>
  <si>
    <t>Upgrade HW</t>
  </si>
  <si>
    <t>Náklady na priestory, energie</t>
  </si>
  <si>
    <t>Personálne náklady spojené s prevádzkou HW</t>
  </si>
  <si>
    <t>Náklady na obstaranie a prevádzku HW</t>
  </si>
  <si>
    <t>Náklady na obstaranie a prevádzku SW</t>
  </si>
  <si>
    <t>Celkové náklady na vlastníctvo (TCO)</t>
  </si>
  <si>
    <t>Rok</t>
  </si>
  <si>
    <t>HW sumár obstaranie</t>
  </si>
  <si>
    <t>HW sumár prevádzka</t>
  </si>
  <si>
    <t xml:space="preserve">Spolu </t>
  </si>
  <si>
    <t>Spolu</t>
  </si>
  <si>
    <t>SW produkty</t>
  </si>
  <si>
    <t>Aplikácie</t>
  </si>
  <si>
    <t>SW produkty - sumár obstaranie</t>
  </si>
  <si>
    <t>SW produkty - sumár prevádzka</t>
  </si>
  <si>
    <t>Aplikácie - sumár obstaranie</t>
  </si>
  <si>
    <t>Aplikácie - sumár prevádzka</t>
  </si>
  <si>
    <t xml:space="preserve">Prvý rok, ktorým výpočet CBA a TCO začína, rok začatia projektu </t>
  </si>
  <si>
    <t>Názov riešenia</t>
  </si>
  <si>
    <t>112 Zásoby</t>
  </si>
  <si>
    <t>Náklady na existujúce riešenie
(pôvodné riešenie pred realizáciou projektu OP II), ktoré bolo nahradené</t>
  </si>
  <si>
    <t>Číslo projektu ITMS</t>
  </si>
  <si>
    <t>Vytvorenie riešenia - obstaranie</t>
  </si>
  <si>
    <t>BCR</t>
  </si>
  <si>
    <t>Publicita a informovanosť</t>
  </si>
  <si>
    <t>INDIKATÍVNY ROZPOČET SPOLU</t>
  </si>
  <si>
    <t>Rozdiel</t>
  </si>
  <si>
    <t>NPV</t>
  </si>
  <si>
    <t>HW (aj systémový SW) sumár obstaranie</t>
  </si>
  <si>
    <t>HW (aj systémový SW) sumár prevádzka</t>
  </si>
  <si>
    <t>organizácia A</t>
  </si>
  <si>
    <t>organizácia B</t>
  </si>
  <si>
    <t>organizácia C</t>
  </si>
  <si>
    <t>TO BE</t>
  </si>
  <si>
    <t>organizácia ...</t>
  </si>
  <si>
    <t>Výsledná hodnota</t>
  </si>
  <si>
    <t>Všetky prínosové položky sú automaticky vypočítané na základe údajov uvedených v záložkách TCO, spotrebované cloudové služby a Parametre - Agendové IS</t>
  </si>
  <si>
    <t>Všetky výdavkové položky sú automaticky vypočítané na základe údajov uvedených v záložkách TCO a Parametre - Agendové IS</t>
  </si>
  <si>
    <t>FIRR</t>
  </si>
  <si>
    <t>EIRR</t>
  </si>
  <si>
    <t>FNPV</t>
  </si>
  <si>
    <t>pomer prínosov a nákladov</t>
  </si>
  <si>
    <t>finančná vnútorná výnosová miera (%)</t>
  </si>
  <si>
    <t>ekonomická vnútorná výnosová miera (%)</t>
  </si>
  <si>
    <t>Minimálna hodnota</t>
  </si>
  <si>
    <t>-</t>
  </si>
  <si>
    <t>Výsledok CBA</t>
  </si>
  <si>
    <t>Priemerná mzda vo verejnej správe (aktuálna, W_ps)</t>
  </si>
  <si>
    <t xml:space="preserve">Priemerná mzda v NH (Cperc) </t>
  </si>
  <si>
    <t>Náklady IT systém</t>
  </si>
  <si>
    <t>FTE úradník</t>
  </si>
  <si>
    <t>FTE</t>
  </si>
  <si>
    <t>Administrtívny poplatok</t>
  </si>
  <si>
    <t>človeko-hod.</t>
  </si>
  <si>
    <t>Cena ušetreného času používateľa
(S pravidlom polovice)</t>
  </si>
  <si>
    <t>Cena ušetreného času úradníka</t>
  </si>
  <si>
    <r>
      <t xml:space="preserve">Materiálové náklady na 1 podanie </t>
    </r>
    <r>
      <rPr>
        <i/>
        <sz val="11"/>
        <color theme="1"/>
        <rFont val="Calibri"/>
        <family val="2"/>
        <charset val="238"/>
        <scheme val="minor"/>
      </rPr>
      <t xml:space="preserve">(napr. Poštovné (0,83 EUR)+Tlač (0,02 EUR)+Papier (0,01 EUR)+Obálka (0,03 EUR). Zhotoviteľ štúdie doplní skutočné náklady)
</t>
    </r>
  </si>
  <si>
    <t>Materiálové náklady</t>
  </si>
  <si>
    <t>Náklady na budúce riešenie</t>
  </si>
  <si>
    <t>Čas potrebný na vypracovanie a doručenie podania (ušetrený čas používateľa)</t>
  </si>
  <si>
    <t>Trvanie spracovania podania (ušetrený čas úradníka)</t>
  </si>
  <si>
    <t>Zníženie kvalitatívnych prínosov</t>
  </si>
  <si>
    <t>Zníženie očakávaného ušetreného času úradníka</t>
  </si>
  <si>
    <t>Zníženie očakávaného ušetreného času používateľa</t>
  </si>
  <si>
    <t>Zníženie počtu podaní v budúcom stave</t>
  </si>
  <si>
    <t>Zvýšenie nákladov - TCO celkovo</t>
  </si>
  <si>
    <t>Zvýšenie CAPEX</t>
  </si>
  <si>
    <t>Rozdiel v nákladoch medzi existujúcim a navrhovaným riešením</t>
  </si>
  <si>
    <t>Prínosy</t>
  </si>
  <si>
    <t xml:space="preserve">Úradníci (€) </t>
  </si>
  <si>
    <t>Občania (€)</t>
  </si>
  <si>
    <t>Úradníci (FTE)</t>
  </si>
  <si>
    <t>IT - CAPEX</t>
  </si>
  <si>
    <t>IT - OPEX</t>
  </si>
  <si>
    <t>N/A</t>
  </si>
  <si>
    <t>Nevyčíslené spoločenské prínosy</t>
  </si>
  <si>
    <t>...</t>
  </si>
  <si>
    <t>(prosíme doplniť)...</t>
  </si>
  <si>
    <r>
      <t xml:space="preserve">Sem prosím vložte procesnú mapu stavu </t>
    </r>
    <r>
      <rPr>
        <b/>
        <sz val="11"/>
        <color theme="1"/>
        <rFont val="Calibri"/>
        <family val="2"/>
        <charset val="238"/>
        <scheme val="minor"/>
      </rPr>
      <t>AS IS</t>
    </r>
    <r>
      <rPr>
        <sz val="11"/>
        <color theme="1"/>
        <rFont val="Calibri"/>
        <family val="2"/>
        <charset val="238"/>
        <scheme val="minor"/>
      </rPr>
      <t xml:space="preserve"> a stavu </t>
    </r>
    <r>
      <rPr>
        <b/>
        <sz val="11"/>
        <color theme="1"/>
        <rFont val="Calibri"/>
        <family val="2"/>
        <charset val="238"/>
        <scheme val="minor"/>
      </rPr>
      <t>TO BE</t>
    </r>
  </si>
  <si>
    <t>napr.</t>
  </si>
  <si>
    <t>AS IS</t>
  </si>
  <si>
    <t>Procesy na strane úradníka (časové hodnoty)</t>
  </si>
  <si>
    <t>Proces č. 1</t>
  </si>
  <si>
    <t>Procesný krok č. 1</t>
  </si>
  <si>
    <t>Procesný krok č. 2</t>
  </si>
  <si>
    <t>Procesný krok č. 3</t>
  </si>
  <si>
    <t>Proces č. 2</t>
  </si>
  <si>
    <t>Zdroj</t>
  </si>
  <si>
    <t>prosím uveďte zdroj, v prípade vzorového prieskumu prosím vyplňte hodnoty za jednotlivé merania</t>
  </si>
  <si>
    <t>Meranie č. 1</t>
  </si>
  <si>
    <t>Meranie č. 2</t>
  </si>
  <si>
    <t>Meranie č. 3</t>
  </si>
  <si>
    <t>Meranie č. 4</t>
  </si>
  <si>
    <t>Meranie č. 5</t>
  </si>
  <si>
    <t>Meranie č. 6</t>
  </si>
  <si>
    <t>Meranie č. 7</t>
  </si>
  <si>
    <t>Meranie č. 8</t>
  </si>
  <si>
    <t>Meranie č. 9</t>
  </si>
  <si>
    <t>Meranie č. 10</t>
  </si>
  <si>
    <t>Meranie č. 11</t>
  </si>
  <si>
    <t>Meranie č. 12</t>
  </si>
  <si>
    <t>Meranie č. 13</t>
  </si>
  <si>
    <t>Meranie č. 14</t>
  </si>
  <si>
    <t>Meranie č. 15</t>
  </si>
  <si>
    <t>Meranie č. 16</t>
  </si>
  <si>
    <t>Meranie č. 17</t>
  </si>
  <si>
    <t>Meranie č. 18</t>
  </si>
  <si>
    <t>Meranie č. 19</t>
  </si>
  <si>
    <t>Meranie č. 20</t>
  </si>
  <si>
    <t>Meranie č. 21</t>
  </si>
  <si>
    <t>Meranie č. 22</t>
  </si>
  <si>
    <t>Meranie č. 23</t>
  </si>
  <si>
    <t>Meranie č. 24</t>
  </si>
  <si>
    <t>Meranie č. 25</t>
  </si>
  <si>
    <t>Meranie č. 26</t>
  </si>
  <si>
    <t>Meranie č. 27</t>
  </si>
  <si>
    <t>Meranie č. 28</t>
  </si>
  <si>
    <t>Meranie č. 29</t>
  </si>
  <si>
    <t>Meranie č. 30</t>
  </si>
  <si>
    <t>Procesy na strane občana (časové hodnoty)</t>
  </si>
  <si>
    <t>Zoznam hárkov s vysvetlením a pokynmi</t>
  </si>
  <si>
    <t>Sumarizácia</t>
  </si>
  <si>
    <t>TCO</t>
  </si>
  <si>
    <t>Faktory</t>
  </si>
  <si>
    <t>Hárok</t>
  </si>
  <si>
    <t>Účel hárku</t>
  </si>
  <si>
    <t>Vymenovanie a popísanie nevyčíslených spoločenských prínosov</t>
  </si>
  <si>
    <t>Sumarizácia výsledkov CBA podľa prínosov a modulov</t>
  </si>
  <si>
    <t>Výsledky CBA na agregátnej úrovni, výpočet BCR</t>
  </si>
  <si>
    <t>Žiadne</t>
  </si>
  <si>
    <t>Vstupy od zhotoviteľa (žlté polia)</t>
  </si>
  <si>
    <t>Automatický výpočet citlivosti výsledkov CBA na zmeny parametrov</t>
  </si>
  <si>
    <t>Vstupné parametre pre jednotlivé moduly/životné situácie: počty podaní, trvania času</t>
  </si>
  <si>
    <t>Všetky relevantné žlté polia</t>
  </si>
  <si>
    <t>Zhrnutie celkových nákladov na vlastníctvo oboch alternatív projektu</t>
  </si>
  <si>
    <t xml:space="preserve">Náklady na vlastníctvo softvéru alternatívy 1 (AS IS) </t>
  </si>
  <si>
    <t xml:space="preserve">Náklady na vlastníctvo hardvéru alternatívy 1 (AS IS) </t>
  </si>
  <si>
    <t xml:space="preserve">Náklady na vlastníctvo softvéru alternatívy 2 (TO BE) </t>
  </si>
  <si>
    <t>Náklady na vlastníctvo hardvéru alternatívy 2 (TO BE)</t>
  </si>
  <si>
    <t>Spoločné vstupné parametre pre ocenenie prínosov a výpočet CBA</t>
  </si>
  <si>
    <t>Aktuálne priemerné mzdy v hospodárstve podľa ŠÚ SR, rok začiatku projektu</t>
  </si>
  <si>
    <t>Riadenie projektu</t>
  </si>
  <si>
    <t>Riadenie a publicita</t>
  </si>
  <si>
    <t>Projektové riadenie</t>
  </si>
  <si>
    <t>Počet podaní / volaní</t>
  </si>
  <si>
    <t>Fond pracovnej doby - VS (FPDvs)</t>
  </si>
  <si>
    <t>hod/rok</t>
  </si>
  <si>
    <t>Fond pracovnej doby - NH (FPDnh)</t>
  </si>
  <si>
    <t xml:space="preserve">Cper = (W_ps * Odvody) / Fond pracovnej doby. Odvody (SP, ZP, DP) sú 35,2%“. Osobné náklady sú faktorom prevádzkových variabilných nákladov.
</t>
  </si>
  <si>
    <t>Položka</t>
  </si>
  <si>
    <t>Merná jednotka</t>
  </si>
  <si>
    <t>Počet</t>
  </si>
  <si>
    <t>Detailný rozpočet pre vývoj navrhovaného riešenia (TO BE)</t>
  </si>
  <si>
    <t>Položkový rozpočet pre nákup licencií a HW (TO BE)</t>
  </si>
  <si>
    <t>Výstupné náklady</t>
  </si>
  <si>
    <t>Technologické požiadavky</t>
  </si>
  <si>
    <t>SW a Aplikácie - výstupné náklady</t>
  </si>
  <si>
    <t>SW a Aplikácie - Výstupné náklady</t>
  </si>
  <si>
    <t>Popis
(Vrátane zdôvodnenia zvoleného technologického variantu - IaaS, PaaS, vývoj vlastnej aplikácie, COTS riešenie)</t>
  </si>
  <si>
    <t>Koncová služba</t>
  </si>
  <si>
    <t>TO BE - AS IS (€, NPV)</t>
  </si>
  <si>
    <t>TO BE - AS IS (€, SUM)</t>
  </si>
  <si>
    <t>Kontrola TO BE</t>
  </si>
  <si>
    <t>Finančný cashflow (s DPH)</t>
  </si>
  <si>
    <t>Ekonomický cashflow (bez DPH)</t>
  </si>
  <si>
    <t>Náklady s DPH</t>
  </si>
  <si>
    <t>ekonomická čistá súčasná hodnota (eur bez DPH)</t>
  </si>
  <si>
    <t>finančná čistá súčasná hodnota (eur s DPH)</t>
  </si>
  <si>
    <t>Modul</t>
  </si>
  <si>
    <t>Fáza projektu</t>
  </si>
  <si>
    <t>Analýza a dizajn</t>
  </si>
  <si>
    <t>Nasadenie</t>
  </si>
  <si>
    <t>Faza projektu</t>
  </si>
  <si>
    <t>% dotácia</t>
  </si>
  <si>
    <t>Počet MDs</t>
  </si>
  <si>
    <t>Inkrement</t>
  </si>
  <si>
    <t>Start</t>
  </si>
  <si>
    <t>Koniec</t>
  </si>
  <si>
    <t>Trvanie</t>
  </si>
  <si>
    <t>#</t>
  </si>
  <si>
    <t>MOD_01</t>
  </si>
  <si>
    <t>MOD_02</t>
  </si>
  <si>
    <t>MOD_03</t>
  </si>
  <si>
    <t>MOD_04</t>
  </si>
  <si>
    <t>MOD_05</t>
  </si>
  <si>
    <t>MOD_06</t>
  </si>
  <si>
    <t>MOD_07</t>
  </si>
  <si>
    <t>MOD_08</t>
  </si>
  <si>
    <t>MOD_09</t>
  </si>
  <si>
    <t>MOD_10</t>
  </si>
  <si>
    <t>MOD_11</t>
  </si>
  <si>
    <t>MOD_12</t>
  </si>
  <si>
    <t>MOD_13</t>
  </si>
  <si>
    <t>MOD_14</t>
  </si>
  <si>
    <t>MOD_15</t>
  </si>
  <si>
    <t>MOD_16</t>
  </si>
  <si>
    <t>MOD_17</t>
  </si>
  <si>
    <t>MOD_18</t>
  </si>
  <si>
    <t>MOD_19</t>
  </si>
  <si>
    <t>MOD_20</t>
  </si>
  <si>
    <t>MOD_21</t>
  </si>
  <si>
    <t>Rok dodania</t>
  </si>
  <si>
    <t>Moduly</t>
  </si>
  <si>
    <t>Rozvoj</t>
  </si>
  <si>
    <t>Inkrement 1</t>
  </si>
  <si>
    <t>Inkrement 2</t>
  </si>
  <si>
    <t>Inkrement 3</t>
  </si>
  <si>
    <t>INK START</t>
  </si>
  <si>
    <t>INK END</t>
  </si>
  <si>
    <t>Začiatok</t>
  </si>
  <si>
    <t>Harmonogram v mesiacoch od spustenia</t>
  </si>
  <si>
    <t>Participácia na vývoju SW (analýzy, testovanie a pod.)</t>
  </si>
  <si>
    <t>Participácia na vývoji Aplikácie (analýzy, testovanie a pod.)</t>
  </si>
  <si>
    <t>SW / HW</t>
  </si>
  <si>
    <t>Jednotková cena €</t>
  </si>
  <si>
    <t>Celková suma €</t>
  </si>
  <si>
    <t>Účtovná položka</t>
  </si>
  <si>
    <t>022 Samostatné hnuteľné veci a súbory hnuteľných vecí</t>
  </si>
  <si>
    <t>Zdroj ceny (odkazy na cenníky, prieskumy a pod.)</t>
  </si>
  <si>
    <t>POZNÁMKA</t>
  </si>
  <si>
    <r>
      <t xml:space="preserve">VÝSLEDKY TESTOV
</t>
    </r>
    <r>
      <rPr>
        <sz val="10"/>
        <rFont val="Calibri Light"/>
        <family val="2"/>
        <scheme val="major"/>
      </rPr>
      <t>(status)</t>
    </r>
  </si>
  <si>
    <r>
      <t xml:space="preserve">Použité 
PROSTREDIE
</t>
    </r>
    <r>
      <rPr>
        <sz val="10"/>
        <rFont val="Calibri Light"/>
        <family val="2"/>
        <scheme val="major"/>
      </rPr>
      <t>pre test
(overenie funkčnosti)</t>
    </r>
  </si>
  <si>
    <r>
      <t xml:space="preserve">Použité 
TESTOVACIE DÁTA
</t>
    </r>
    <r>
      <rPr>
        <sz val="10"/>
        <rFont val="Calibri Light"/>
        <family val="2"/>
        <scheme val="major"/>
      </rPr>
      <t>pri teste</t>
    </r>
  </si>
  <si>
    <t>Identifikácia 
TEST CASE</t>
  </si>
  <si>
    <t>Identifikácia
USE CASE</t>
  </si>
  <si>
    <r>
      <t xml:space="preserve">SPôSOB DODANIA
</t>
    </r>
    <r>
      <rPr>
        <sz val="10"/>
        <rFont val="Calibri Light"/>
        <family val="2"/>
        <scheme val="major"/>
      </rPr>
      <t xml:space="preserve"> (implementácia dodávateľom)</t>
    </r>
  </si>
  <si>
    <t>ID návrhu riešenia z 
detailný návrh riešenia (DNR)</t>
  </si>
  <si>
    <r>
      <t>Poznámka</t>
    </r>
    <r>
      <rPr>
        <sz val="10"/>
        <rFont val="Calibri Light"/>
        <family val="2"/>
        <scheme val="major"/>
      </rPr>
      <t xml:space="preserve">
(doplňujúci popis; príp. ODKAZ na popis v ponuke)</t>
    </r>
  </si>
  <si>
    <t>Kde je vo Vašej PONUKE popísané riešenie ?</t>
  </si>
  <si>
    <r>
      <t>Odpoveď UCHÁDZAČA 
v procese VO</t>
    </r>
    <r>
      <rPr>
        <b/>
        <sz val="10"/>
        <rFont val="Tahoma"/>
        <family val="2"/>
      </rPr>
      <t/>
    </r>
  </si>
  <si>
    <r>
      <t xml:space="preserve">POZNÁMKA
</t>
    </r>
    <r>
      <rPr>
        <sz val="10"/>
        <rFont val="Calibri Light"/>
        <family val="2"/>
        <scheme val="major"/>
      </rPr>
      <t>(napr. legislatívne východiská)</t>
    </r>
  </si>
  <si>
    <t>ZÁVISLOSŤ
RIZIKO
EXTERNÁ INTEGRÁCIA</t>
  </si>
  <si>
    <t>UCP</t>
  </si>
  <si>
    <t>TCF</t>
  </si>
  <si>
    <t>ECF</t>
  </si>
  <si>
    <t>UAW</t>
  </si>
  <si>
    <t>POCET UC</t>
  </si>
  <si>
    <t>VLASTNÍK 
POŽIADAVKY</t>
  </si>
  <si>
    <t>DETAILNÝ POPIS POŽIADAVKY</t>
  </si>
  <si>
    <t>NÁZOV
POŽIADAVKY</t>
  </si>
  <si>
    <t>OBLASŤ POŽIADAVKY</t>
  </si>
  <si>
    <r>
      <t xml:space="preserve">KATEGÓRIA POŽIADAVKY
</t>
    </r>
    <r>
      <rPr>
        <sz val="10"/>
        <rFont val="Calibri Light"/>
        <family val="2"/>
        <scheme val="major"/>
      </rPr>
      <t>_funkčná požiadavka
_nefunkčná požiadavka
_technická požiadavka</t>
    </r>
  </si>
  <si>
    <r>
      <t xml:space="preserve">ID 
POŽIADAVKY
</t>
    </r>
    <r>
      <rPr>
        <sz val="10"/>
        <rFont val="Calibri Light"/>
        <family val="2"/>
        <scheme val="major"/>
      </rPr>
      <t>(zvoľte si konvenciu označovania)</t>
    </r>
  </si>
  <si>
    <r>
      <t xml:space="preserve">KROK 4)
OVERENIE DODANIA
</t>
    </r>
    <r>
      <rPr>
        <sz val="10"/>
        <rFont val="Calibri Light"/>
        <family val="2"/>
        <scheme val="major"/>
      </rPr>
      <t>OBJEDNÁVATEĽOM</t>
    </r>
  </si>
  <si>
    <r>
      <t xml:space="preserve">KROK 3) 
REALIZAČNÁ FÁZA
</t>
    </r>
    <r>
      <rPr>
        <sz val="10"/>
        <rFont val="Calibri Light"/>
        <family val="2"/>
        <scheme val="major"/>
      </rPr>
      <t xml:space="preserve">(obsah tvorí </t>
    </r>
    <r>
      <rPr>
        <b/>
        <sz val="10"/>
        <rFont val="Calibri Light"/>
        <family val="2"/>
        <scheme val="major"/>
      </rPr>
      <t>DODÁVATEĽ</t>
    </r>
    <r>
      <rPr>
        <sz val="10"/>
        <rFont val="Calibri Light"/>
        <family val="2"/>
        <scheme val="major"/>
      </rPr>
      <t xml:space="preserve"> - po dokončení VO a podpise Zmluvy)</t>
    </r>
  </si>
  <si>
    <r>
      <t xml:space="preserve">KROK 2)
</t>
    </r>
    <r>
      <rPr>
        <sz val="10"/>
        <rFont val="Calibri Light"/>
        <family val="2"/>
        <scheme val="major"/>
      </rPr>
      <t>VEREJNÉ OBSTARÁVANIE</t>
    </r>
    <r>
      <rPr>
        <b/>
        <sz val="10"/>
        <rFont val="Calibri Light"/>
        <family val="2"/>
        <scheme val="major"/>
      </rPr>
      <t xml:space="preserve">
VYJADRENIE UCHÁDZAČA / ZÁUJEMCU
</t>
    </r>
    <r>
      <rPr>
        <sz val="10"/>
        <rFont val="Calibri Light"/>
        <family val="2"/>
        <scheme val="major"/>
      </rPr>
      <t xml:space="preserve">(PROCES VO - odpovede </t>
    </r>
    <r>
      <rPr>
        <b/>
        <sz val="10"/>
        <rFont val="Calibri Light"/>
        <family val="2"/>
        <scheme val="major"/>
      </rPr>
      <t>UCHÁDZAČA</t>
    </r>
    <r>
      <rPr>
        <sz val="10"/>
        <rFont val="Calibri Light"/>
        <family val="2"/>
        <scheme val="major"/>
      </rPr>
      <t xml:space="preserve"> - potrebné vyplniť za každú požiadavku)</t>
    </r>
  </si>
  <si>
    <r>
      <rPr>
        <b/>
        <sz val="10"/>
        <rFont val="Calibri Light"/>
        <family val="2"/>
        <scheme val="major"/>
      </rPr>
      <t>KROK 1)
INICIAČNÁ FÁZA</t>
    </r>
    <r>
      <rPr>
        <sz val="10"/>
        <rFont val="Calibri Light"/>
        <family val="2"/>
        <scheme val="major"/>
      </rPr>
      <t xml:space="preserve">
(obsah tvorí </t>
    </r>
    <r>
      <rPr>
        <b/>
        <sz val="10"/>
        <rFont val="Calibri Light"/>
        <family val="2"/>
        <scheme val="major"/>
      </rPr>
      <t>OBJEDNÁVATEĽ -</t>
    </r>
    <r>
      <rPr>
        <sz val="10"/>
        <rFont val="Calibri Light"/>
        <family val="2"/>
        <scheme val="major"/>
      </rPr>
      <t xml:space="preserve"> PRED spustením VO)</t>
    </r>
  </si>
  <si>
    <t># roku</t>
  </si>
  <si>
    <t>PF</t>
  </si>
  <si>
    <t>Špeciálne znalosti a zručnosti používateľov</t>
  </si>
  <si>
    <t>Poskytuje priamy prístup k tretím systémom</t>
  </si>
  <si>
    <t>Osobitné bezpečnostné prvky</t>
  </si>
  <si>
    <t>Súbežnosť</t>
  </si>
  <si>
    <t>Jednoduchosť zmeny</t>
  </si>
  <si>
    <t>Prenosnosť</t>
  </si>
  <si>
    <t>Jednoduchosť používania</t>
  </si>
  <si>
    <t>Jednoduchosť inštalácie</t>
  </si>
  <si>
    <t>Znovapoužiteľnosť</t>
  </si>
  <si>
    <t>Komplexnosť vnútorných procesov</t>
  </si>
  <si>
    <t>Efektívnosť pre používateľa</t>
  </si>
  <si>
    <t>Výkon</t>
  </si>
  <si>
    <t>Distribuovaný systém</t>
  </si>
  <si>
    <t>Total Factor</t>
  </si>
  <si>
    <t>T13</t>
  </si>
  <si>
    <t>T12</t>
  </si>
  <si>
    <t>T11</t>
  </si>
  <si>
    <t>T10</t>
  </si>
  <si>
    <t>T9</t>
  </si>
  <si>
    <t>T8</t>
  </si>
  <si>
    <t>T7</t>
  </si>
  <si>
    <t>T6</t>
  </si>
  <si>
    <t>T5</t>
  </si>
  <si>
    <t>T4</t>
  </si>
  <si>
    <t>T3</t>
  </si>
  <si>
    <t>T2</t>
  </si>
  <si>
    <t>T1</t>
  </si>
  <si>
    <t>Zložitý programovací jazyk</t>
  </si>
  <si>
    <t>Zamestnanci na čiastočný úväzok</t>
  </si>
  <si>
    <t>Stabilita požiadaviek</t>
  </si>
  <si>
    <t>Motivácia</t>
  </si>
  <si>
    <t>Schopnosť vedúcich analytikov</t>
  </si>
  <si>
    <t>Skúsenosti s objektovo orientovaným prístupom</t>
  </si>
  <si>
    <t>Skúsenosti s implementáciou</t>
  </si>
  <si>
    <t>Celkom</t>
  </si>
  <si>
    <t>Zložitosť</t>
  </si>
  <si>
    <t>Podnikateľ (G2B)</t>
  </si>
  <si>
    <t>Typ používateľa</t>
  </si>
  <si>
    <t>Používateľ</t>
  </si>
  <si>
    <t>Inkrement 20</t>
  </si>
  <si>
    <t>Inkrement 19</t>
  </si>
  <si>
    <t>Inkrement 18</t>
  </si>
  <si>
    <t>Inkrement 17</t>
  </si>
  <si>
    <t>Inkrement 16</t>
  </si>
  <si>
    <t>Inkrement 15</t>
  </si>
  <si>
    <t>Inkrement 14</t>
  </si>
  <si>
    <t>Inkrement 13</t>
  </si>
  <si>
    <t>Inkrement 12</t>
  </si>
  <si>
    <t>Inkrement 11</t>
  </si>
  <si>
    <t>Inkrement 10</t>
  </si>
  <si>
    <t>Inkrement 9</t>
  </si>
  <si>
    <t>Inkrement 8</t>
  </si>
  <si>
    <t>Inkrement 7</t>
  </si>
  <si>
    <t>Inkrement 6</t>
  </si>
  <si>
    <t>Inkrement 5</t>
  </si>
  <si>
    <t>Inkrement 4</t>
  </si>
  <si>
    <t>Trvanie v mesiacoch</t>
  </si>
  <si>
    <t># Inkrementu</t>
  </si>
  <si>
    <t>Pozícia</t>
  </si>
  <si>
    <t>IT architekt</t>
  </si>
  <si>
    <t>IT tester</t>
  </si>
  <si>
    <t>IT programátor/vývojár</t>
  </si>
  <si>
    <t>Projektový manažér IT projektu</t>
  </si>
  <si>
    <t>IT analytik</t>
  </si>
  <si>
    <t>Odborník pre IT dohľad/Quality Assurance</t>
  </si>
  <si>
    <t>Špecialista pre bezpečnosť IT</t>
  </si>
  <si>
    <t>Špecialista pre infraštruktúrny/HW špecialista</t>
  </si>
  <si>
    <t>Špecialista pre databázy</t>
  </si>
  <si>
    <t>Školiteľ pre IT systémy</t>
  </si>
  <si>
    <t>IT/IS konzultant (napr. SAP)</t>
  </si>
  <si>
    <t xml:space="preserve">Iné </t>
  </si>
  <si>
    <t>Poznámka</t>
  </si>
  <si>
    <t>V projekte</t>
  </si>
  <si>
    <t>Pocet MDs</t>
  </si>
  <si>
    <t>% akivit</t>
  </si>
  <si>
    <t>Suma</t>
  </si>
  <si>
    <t>Priemerná vážená sadzba</t>
  </si>
  <si>
    <t>Počet MD</t>
  </si>
  <si>
    <t>% v projekte</t>
  </si>
  <si>
    <t>MOD_#</t>
  </si>
  <si>
    <t>Inštalačné práce súvisiace s nakupovaným HW</t>
  </si>
  <si>
    <t>Aplikačná podpora</t>
  </si>
  <si>
    <t>Supporty</t>
  </si>
  <si>
    <t>IT Architekt</t>
  </si>
  <si>
    <t>Vlastník procesov</t>
  </si>
  <si>
    <t>Dátový špecialista</t>
  </si>
  <si>
    <t>Dátový kurátor</t>
  </si>
  <si>
    <t>Špecialista na bezpečnosť</t>
  </si>
  <si>
    <t>Počet pozícií</t>
  </si>
  <si>
    <t>Projektový manažér</t>
  </si>
  <si>
    <t>Finančný manažér</t>
  </si>
  <si>
    <t>Trvanie aktivity</t>
  </si>
  <si>
    <t>Počet hodín</t>
  </si>
  <si>
    <t>Tester</t>
  </si>
  <si>
    <t>Manažér kvality</t>
  </si>
  <si>
    <t>Administratívny pracovník</t>
  </si>
  <si>
    <t>Vazena sadzba - externe</t>
  </si>
  <si>
    <t>Vazena sadzba interné</t>
  </si>
  <si>
    <t>Pocet MDs - interne</t>
  </si>
  <si>
    <t>Suma internych prac</t>
  </si>
  <si>
    <t>Suma Externych prac</t>
  </si>
  <si>
    <t>Náklady na pozíciu</t>
  </si>
  <si>
    <t>Pocet MDs - externe</t>
  </si>
  <si>
    <r>
      <t xml:space="preserve">NÁZOV MODULU
</t>
    </r>
    <r>
      <rPr>
        <sz val="10"/>
        <rFont val="Calibri Light"/>
        <family val="2"/>
        <scheme val="major"/>
      </rPr>
      <t>(príslušnosť požiadavky k modulu)</t>
    </r>
  </si>
  <si>
    <t>Občan (G2C)</t>
  </si>
  <si>
    <t>Zahraničná osoba (G2A)</t>
  </si>
  <si>
    <t>Zamestnanec inštitúcie verejnej správy (G2E)</t>
  </si>
  <si>
    <t>Inštitúcia verejnej správy (G2G)</t>
  </si>
  <si>
    <t>ISVS verejnej správy (G2IS G)</t>
  </si>
  <si>
    <t>ISVS mimo verejnej správy (G2IS B)</t>
  </si>
  <si>
    <t>Iné</t>
  </si>
  <si>
    <t>Subjekt / Objekt</t>
  </si>
  <si>
    <t>Váha</t>
  </si>
  <si>
    <t>Index</t>
  </si>
  <si>
    <t>Priemerná mesačná hrubá mzda v národnom hospodárstve SR za 1. - 3. Q./2020 (obdobie aktualizovať k času predloženia dokumentu), podľa ŠÚ SR</t>
  </si>
  <si>
    <t>Znalosť vývojového procesu</t>
  </si>
  <si>
    <t xml:space="preserve"> - </t>
  </si>
  <si>
    <t>HW a SW</t>
  </si>
  <si>
    <t>Typ aktivity</t>
  </si>
  <si>
    <t>Hlavné aktivity</t>
  </si>
  <si>
    <t>Podporné aktivity</t>
  </si>
  <si>
    <t>Oblasť výdavku</t>
  </si>
  <si>
    <t>Vývoj aplikácií</t>
  </si>
  <si>
    <t>Int / ext</t>
  </si>
  <si>
    <t>Projekový manažment</t>
  </si>
  <si>
    <t>Publicita</t>
  </si>
  <si>
    <t>Prevádzka</t>
  </si>
  <si>
    <t>Nákup HW a SW</t>
  </si>
  <si>
    <t>Externé</t>
  </si>
  <si>
    <t>Interné</t>
  </si>
  <si>
    <t>Zdroj finacovania - %</t>
  </si>
  <si>
    <t>Zdroje financovania - SUMA</t>
  </si>
  <si>
    <t>Suma %</t>
  </si>
  <si>
    <t>CBA - Agendové IS</t>
  </si>
  <si>
    <t>Zdroje Financovania</t>
  </si>
  <si>
    <t>Výdavky - Agendové IS</t>
  </si>
  <si>
    <t>Parametre - Agendové IS</t>
  </si>
  <si>
    <t>MODULY_CBA</t>
  </si>
  <si>
    <t>INKREMENTY</t>
  </si>
  <si>
    <t>KATALOG_POZIADAVKY</t>
  </si>
  <si>
    <t>TCF_v02</t>
  </si>
  <si>
    <t>ECF_v02</t>
  </si>
  <si>
    <t>UAW_v02</t>
  </si>
  <si>
    <t>AKTIVITY_POZICIE</t>
  </si>
  <si>
    <t>POZICIE_INTERNE</t>
  </si>
  <si>
    <t>Rozpocet - Vyvoj aplikacii</t>
  </si>
  <si>
    <t>Rozpocet - HW a licencie</t>
  </si>
  <si>
    <t>Harmonogram</t>
  </si>
  <si>
    <t>TCO AS IS - SW</t>
  </si>
  <si>
    <t>TCO AS IS - HW</t>
  </si>
  <si>
    <t>TCO TO BE - SW</t>
  </si>
  <si>
    <t>TCO TO BE - HW</t>
  </si>
  <si>
    <t>Relevantné moduly, ktoré budú v rámci projektu realizované</t>
  </si>
  <si>
    <t>Definované inkrementy, v ktorých budú realizované čiastkové dodávky</t>
  </si>
  <si>
    <t>Detailne definované požiadavky projektu</t>
  </si>
  <si>
    <t>Komplexný technický faktor pre projekt v zmysle metodiky UCP</t>
  </si>
  <si>
    <t>Komplexný environmentálny faktor pre projekt v zmysle metodiky UCP</t>
  </si>
  <si>
    <t>Definované pozície a role, ktoré budú projektom dotknuté</t>
  </si>
  <si>
    <t>Detailné rozdelenie rozpočtu projektu na externé pozície a ich miera zapojenia v aktivitách</t>
  </si>
  <si>
    <t>Detailné definovanie potreby interných kapacít a ich rozdelenie v aktivitách</t>
  </si>
  <si>
    <t>Rámcový harmonogram pre jednotlivé moduly a ich dodávku</t>
  </si>
  <si>
    <t>Rozdelenie zdrojov financovania jendotlivých nákladových položiek projektu</t>
  </si>
  <si>
    <t>Úvod</t>
  </si>
  <si>
    <t>Základné sumarizačné údaje o projekte a klientovi</t>
  </si>
  <si>
    <t>Farba sekcie</t>
  </si>
  <si>
    <t>Doplnenie % rozdelenia zdrojov</t>
  </si>
  <si>
    <t>E1</t>
  </si>
  <si>
    <t>E2</t>
  </si>
  <si>
    <t>E3</t>
  </si>
  <si>
    <t>E4</t>
  </si>
  <si>
    <t>E5</t>
  </si>
  <si>
    <t>E6</t>
  </si>
  <si>
    <t>E7</t>
  </si>
  <si>
    <t>E8</t>
  </si>
  <si>
    <t>Preddpočítaná hodnota s možnosťou zmeny</t>
  </si>
  <si>
    <t>Prínosy agendové</t>
  </si>
  <si>
    <t>Výpočet prínosov projektu na základe vstupných parametrov</t>
  </si>
  <si>
    <t>Polia "Ostatné daňové a nedaňové príjmy" (ak projekt také generuje)</t>
  </si>
  <si>
    <t>Analýza citlivosti</t>
  </si>
  <si>
    <t>Procesné mapy</t>
  </si>
  <si>
    <t>Procesné mapy súčasného a budúceho stavu biznis procesov.</t>
  </si>
  <si>
    <t>Procesy AS IS</t>
  </si>
  <si>
    <t xml:space="preserve">Zdroj dát pre odhad časovej náročnosti súčasných procesov. </t>
  </si>
  <si>
    <t>Procesy TO BE</t>
  </si>
  <si>
    <t xml:space="preserve">Zdroj dát pre odhad časovej náročnosti budúcich procesov. </t>
  </si>
  <si>
    <t>Procesné mapy ako obrázky.</t>
  </si>
  <si>
    <t>Relevantné merania podľa procesov a procesných krokov.</t>
  </si>
  <si>
    <t>Zmluvné poplatky</t>
  </si>
  <si>
    <t>521 Mzdové náklady</t>
  </si>
  <si>
    <t>Príloha pre spracovanie biznis case a cost benefit analýzy informačných technológií verejnej správy</t>
  </si>
  <si>
    <t>Kód Projektu a ISVS z MetaIS</t>
  </si>
  <si>
    <t>Hlavná</t>
  </si>
  <si>
    <t>Podporná</t>
  </si>
  <si>
    <t>Spolu za interné kapacity</t>
  </si>
  <si>
    <t>Hodinová sadzba - Hrubá mzda</t>
  </si>
  <si>
    <t>Koeficient odvodov</t>
  </si>
  <si>
    <t>MD Rate s odvodmi</t>
  </si>
  <si>
    <t>Hodinový náklad (superhrubý)</t>
  </si>
  <si>
    <t>Maximálna hod. sadzba (Hruba mzda)</t>
  </si>
  <si>
    <t>Odvody zamestnávateľ</t>
  </si>
  <si>
    <t>Implementácia a testovanie</t>
  </si>
  <si>
    <t>Aplikačné procesy musia byť vykonávané v najvhodnejšom procesore alebo počítači, ktorý je dynamicky určený.</t>
  </si>
  <si>
    <t>Aplikácia ignoruje akýkoľvek aspekt súvisiaci s distribuovaným spracovaním.</t>
  </si>
  <si>
    <t>Aplikácia generuje údaje, ktoré spracujú iné počítače s ľudským zásahom (napríklad tabuľky alebo predformátované súbory odoslané médiom alebo e-mailom).</t>
  </si>
  <si>
    <t>Údaje aplikácie sa pripravujú a automaticky prenášajú na spracovanie do iných počítačov.</t>
  </si>
  <si>
    <t>Aplikačné spracovanie je distribuované a údaje sa prenášajú iba jedným smerom.</t>
  </si>
  <si>
    <t>Aplikačné spracovanie je distribuované a údaje sa prenášajú oboma smermi.</t>
  </si>
  <si>
    <t>Klient nezadefinoval žiadne špeciálne požiadavky na výkon.</t>
  </si>
  <si>
    <t>Požiadavky na výkon boli stanovené a revidované, nie je však potrebné prijímať nijaké zvláštne opatrenia.</t>
  </si>
  <si>
    <t>Čas odozvy a prenosové rýchlosti sú kritické počas špičkových hodín. Nie je potrebný žiadny špeciálny dizajn pre použitie jadra procesora. Termín pre väčšinu procesov je nasledujúci deň.</t>
  </si>
  <si>
    <t>Čas odozvy a prenosové rýchlosti sú kritické počas komerčných hodín. Nie je potrebný žiadny špeciálny dizajn pre použitie jadra procesora. Požiadavky týkajúce sa lehôt na komunikáciu s prepojenými systémami sú obmedzujúce.</t>
  </si>
  <si>
    <t>Súčin</t>
  </si>
  <si>
    <t>Čas odozvy a prenosové rýchlosti sú kritické počas komerčných hodín. Nie je potrebný žiadny špeciálny dizajn pre použitie jadra procesora. Požiadavky týkajúce sa lehôt na komunikáciu s prepojenými systémami sú obmedzujúce. 
Zároveň sú výkonnostné požiadavky dostatočne obmedzujúce na to, aby sa pri ich návrhu vyžadovali úlohy spojené s analýzou výkonu.</t>
  </si>
  <si>
    <t>Čas odozvy a prenosové rýchlosti sú kritické počas komerčných hodín. Nie je potrebný žiadny špeciálny dizajn pre použitie jadra procesora. Požiadavky týkajúce sa lehôt na komunikáciu s prepojenými systémami sú obmedzujúce. 
Pričom výkonnostné požiadavky sú dostatočne obmedzujúce na to, aby sa pri ich návrhu vyžadovali úlohy spojené s analýzou výkonu.
Zároveň  musia byť počas návrhu, vývoja a / alebo implementácie použité nástroje na analýzu výkonu, aby boli splnené výkonnostné požiadavky klienta.</t>
  </si>
  <si>
    <t>Poradie</t>
  </si>
  <si>
    <t>Aplikácia nepotrebuje žiadnu špeciálne požiadavky na efektivitu koncového užívateľa.</t>
  </si>
  <si>
    <t>Aplikácia vyžaduje 1 až 3 z nižšie uvedených položiek:
-	Navigačná pomoc (napríklad dynamicky generované ponuky, adaptívne hypermédiá atď.).
-	Online pomoc a dokumentácia.
-	Automatizovaný pohyb kurzora.
-	Preddefinované funkčné klávesy.
-	Dávkové úlohy odoslané z online transakcií. 
-	Vysoké využitie farieb a vizuálneho zvýraznenia na obrazovkách.
-	Minimalizácia počtu obrazoviek na dosiahnutie obchodných cieľov. 
-	Dvojjazyčná podpora (počíta sa ako štyri položky).
-	Viacjazyčná podpora (počíta sa ako šesť položiek)</t>
  </si>
  <si>
    <t>Aplikácia vyžaduje 4 až 5 z nižšie uvedených položiek:
-	Navigačná pomoc (napríklad dynamicky generované ponuky, adaptívne hypermédiá atď.).
-	Online pomoc a dokumentácia.
-	Automatizovaný pohyb kurzora.
-	Preddefinované funkčné klávesy.
-	Dávkové úlohy odoslané z online transakcií. 
-	Vysoké využitie farieb a vizuálneho zvýraznenia na obrazovkách.
-	Minimalizácia počtu obrazoviek na dosiahnutie obchodných cieľov. 
-	Dvojjazyčná podpora (počíta sa ako štyri položky).
-	Viacjazyčná podpora (počíta sa ako šesť položiek)</t>
  </si>
  <si>
    <t>Aplikácia vyžaduje 6 alebo viac z nižšie uvedených položiek, neexistujú však žiadne požiadavky týkajúce sa efektívnosti používateľov.
-	Navigačná pomoc (napríklad dynamicky generované ponuky, adaptívne hypermédiá atď.).
-	Online pomoc a dokumentácia.
-	Automatizovaný pohyb kurzora.
-	Preddefinované funkčné klávesy.
-	Dávkové úlohy odoslané z online transakcií. 
-	Vysoké využitie farieb a vizuálneho zvýraznenia na obrazovkách.
-	Minimalizácia počtu obrazoviek na dosiahnutie obchodných cieľov. 
-	Dvojjazyčná podpora (počíta sa ako štyri položky).
-	Viacjazyčná podpora (počíta sa ako šesť položiek)</t>
  </si>
  <si>
    <t>Aplikácia vyžaduje 6 alebo viac z nižšie uvedených položiek a požiadavky na efektivitu používateľa sú také silné, že dizajn musí obsahovať funkcie na minimalizáciu písania, maximalizáciu predvolených nastavení, použitie šablón atď.
-	Navigačná pomoc (napríklad dynamicky generované ponuky, adaptívne hypermédiá atď.).
-	Online pomoc a dokumentácia.
-	Automatizovaný pohyb kurzora.
-	Preddefinované funkčné klávesy.
-	Dávkové úlohy odoslané z online transakcií. 
-	Vysoké využitie farieb a vizuálneho zvýraznenia na obrazovkách.
-	Minimalizácia počtu obrazoviek na dosiahnutie obchodných cieľov. 
-	Dvojjazyčná podpora (počíta sa ako štyri položky).
-	Viacjazyčná podpora (počíta sa ako šesť položiek)</t>
  </si>
  <si>
    <t>Aplikácia vyžaduje 6 alebo viac z týchto položiek nižšie a požiadavky na efektivitu používateľa sú také silné, že návrhové činnosti musia obsahovať nástroje a špeciálne procesy, ktoré preukazujú splnenie výkonnostných cieľov.
-	Navigačná pomoc (napríklad dynamicky generované ponuky, adaptívne hypermédiá atď.).
-	Online pomoc a dokumentácia.
-	Automatizovaný pohyb kurzora.
-	Preddefinované funkčné klávesy.
-	Dávkové úlohy odoslané z online transakcií. 
-	Vysoké využitie farieb a vizuálneho zvýraznenia na obrazovkách.
-	Minimalizácia počtu obrazoviek na dosiahnutie obchodných cieľov. 
-	Dvojjazyčná podpora (počíta sa ako štyri položky).
-	Viacjazyčná podpora (počíta sa ako šesť položiek)</t>
  </si>
  <si>
    <t>Nie sú potrebné žiadne špeciálne požiadavky</t>
  </si>
  <si>
    <t>Z možností uvedených nižsie je potrebná 1:
-	Starostlivá kontrola (napríklad špeciálne spracovanie auditu) a / alebo bezpečné spracovanie špecifické pre danú aplikáciu.
-	Rozsiahle logické spracovanie.
-	Rozsiahle matematické spracovanie.
-	Veľa spracovania výnimiek vyplývajúcich z neúplných transakcií, ktoré je potrebné znovu spracovať, ako napríklad neúplné transakcie bankomatu spôsobené prerušením komunikácie, chýbajúcimi hodnotami údajov alebo neúspešnou zmenou údajov.
-	Komplexné spracovanie na správu viacerých vstupných a výstupných možností, napríklad multimédií alebo nezávislosti od zariadenia</t>
  </si>
  <si>
    <t>Z možností uvedených nižsie sú potrebné 2:
-	Starostlivá kontrola (napríklad špeciálne spracovanie auditu) a / alebo bezpečné spracovanie špecifické pre danú aplikáciu.
-	Rozsiahle logické spracovanie.
-	Rozsiahle matematické spracovanie.
-	Veľa spracovania výnimiek vyplývajúcich z neúplných transakcií, ktoré je potrebné znovu spracovať, ako napríklad neúplné transakcie bankomatu spôsobené prerušením komunikácie, chýbajúcimi hodnotami údajov alebo neúspešnou zmenou údajov.
-	Komplexné spracovanie na správu viacerých vstupných a výstupných možností, napríklad multimédií alebo nezávislosti od zariadenia</t>
  </si>
  <si>
    <t>Z možností uvedených nižsie sú potrebné 3:
-	Starostlivá kontrola (napríklad špeciálne spracovanie auditu) a / alebo bezpečné spracovanie špecifické pre danú aplikáciu.
-	Rozsiahle logické spracovanie.
-	Rozsiahle matematické spracovanie.
-	Veľa spracovania výnimiek vyplývajúcich z neúplných transakcií, ktoré je potrebné znovu spracovať, ako napríklad neúplné transakcie bankomatu spôsobené prerušením komunikácie, chýbajúcimi hodnotami údajov alebo neúspešnou zmenou údajov.
-	Komplexné spracovanie na správu viacerých vstupných a výstupných možností, napríklad multimédií alebo nezávislosti od zariadenia</t>
  </si>
  <si>
    <t>Z možností uvedených nižsie sú potrebné 4:
-	Starostlivá kontrola (napríklad špeciálne spracovanie auditu) a / alebo bezpečné spracovanie špecifické pre danú aplikáciu.
-	Rozsiahle logické spracovanie.
-	Rozsiahle matematické spracovanie.
-	Veľa spracovania výnimiek vyplývajúcich z neúplných transakcií, ktoré je potrebné znovu spracovať, ako napríklad neúplné transakcie bankomatu spôsobené prerušením komunikácie, chýbajúcimi hodnotami údajov alebo neúspešnou zmenou údajov.
-	Komplexné spracovanie na správu viacerých vstupných a výstupných možností, napríklad multimédií alebo nezávislosti od zariadenia</t>
  </si>
  <si>
    <t>Z možností uvedených nižsie je potrebných 5:
-	Starostlivá kontrola (napríklad špeciálne spracovanie auditu) a / alebo bezpečné spracovanie špecifické pre danú aplikáciu.
-	Rozsiahle logické spracovanie.
-	Rozsiahle matematické spracovanie.
-	Veľa spracovania výnimiek vyplývajúcich z neúplných transakcií, ktoré je potrebné znovu spracovať, ako napríklad neúplné transakcie bankomatu spôsobené prerušením komunikácie, chýbajúcimi hodnotami údajov alebo neúspešnou zmenou údajov.
-	Komplexné spracovanie na správu viacerých vstupných a výstupných možností, napríklad multimédií alebo nezávislosti od zariadenia</t>
  </si>
  <si>
    <t>Aplikácia musí byť špeciálne zabalená a / alebo zdokumentovaná, aby sa uľahčilo jej opätovné použitie, a musí byť prispôsobená používateľom pomocou parametrov.</t>
  </si>
  <si>
    <t>Neexistujú obavy z výroby opakovane použiteľného kódu.</t>
  </si>
  <si>
    <t>Generuje sa opakovane použiteľný kód na použitie v rámci toho istého projektu.</t>
  </si>
  <si>
    <t>Menej ako 10% aplikácie musí brať do úvahy viac, ako potrebuje používateľ.</t>
  </si>
  <si>
    <t>10% alebo viac aplikácie musí brať do úvahy viac, ako potrebuje používateľ.</t>
  </si>
  <si>
    <t>Aplikácia musí byť špeciálne zabalená a / alebo zdokumentovaná, aby sa uľahčilo jej opätovné použitie, a musí byť prispôsobená používateľom na úrovni zdrojového kódu.</t>
  </si>
  <si>
    <t>Klient nezadal nijaké zvláštne ohľady a na inštaláciu nie je potrebné žiadne špeciálne nastavenie.</t>
  </si>
  <si>
    <t>Klient nezaviedol nijaké zvláštne požiadavky, ale na inštaláciu je potrebné špeciálne nastavenie.</t>
  </si>
  <si>
    <t>Musia byť poskytnuté a otestované požiadavky stanovené klientom na prevod a inštaláciu údajov a príručky na prevod a inštaláciu. Dopad konverzie v projekte sa nepovažuje za dôležitý</t>
  </si>
  <si>
    <t>Musia byť poskytnuté a otestované požiadavky stanovené klientom na prevod a inštaláciu údajov a príručky na prevod a inštaláciu. Dopad konverzie na projekt je značný.</t>
  </si>
  <si>
    <t>Musia byť poskytnuté a otestované požiadavky stanovené klientom na prevod a inštaláciu údajov a príručky na prevod a inštaláciu. Dopad konverzie v projekte sa nepovažuje za dôležitý.
Zároveň musia byť poskytnuté a vyskúšané nástroje na automatickú konverziu a inštaláciu.</t>
  </si>
  <si>
    <t>Musia byť poskytnuté a otestované požiadavky stanovené klientom na prevod a inštaláciu údajov a príručky na prevod a inštaláciu. Dopad konverzie na projekt je značný.
Zároveň musia byť poskytnuté a vyskúšané nástroje na automatickú konverziu a inštaláciu.</t>
  </si>
  <si>
    <t>Užívateľ neurčil okrem bežného zálohovania žiadne špeciálne požiadavky na fungovanie systému</t>
  </si>
  <si>
    <t>Aplikácia je navrhnutá tak, aby fungovala bez dozoru.</t>
  </si>
  <si>
    <t>Pre systém platí 1 z nasledujúcich položiek:
-	Musia byť poskytnuté efektívne procesy pre inicializáciu, zálohovanie a obnovu, ale zásah obsluhy je stále nevyhnutný.
-	Musia byť poskytnuté efektívne procesy pre inicializáciu, zálohovanie a obnovu a nie je potrebný žiadny zásah operátora (počíta sa ako dve položky).
-	Aplikácia musí minimalizovať potrebu ukladania dát v offline médiách (napríklad pásky).
-	Aplikácia musí minimalizovať potrebu zaobchádzania s papierom.</t>
  </si>
  <si>
    <t>Pre systém platia 2 z nasledujúcich položiek:
-	Musia byť poskytnuté efektívne procesy pre inicializáciu, zálohovanie a obnovu, ale zásah obsluhy je stále nevyhnutný.
-	Musia byť poskytnuté efektívne procesy pre inicializáciu, zálohovanie a obnovu a nie je potrebný žiadny zásah operátora (počíta sa ako dve položky).
-	Aplikácia musí minimalizovať potrebu ukladania dát v offline médiách (napríklad pásky).
-	Aplikácia musí minimalizovať potrebu zaobchádzania s papierom.</t>
  </si>
  <si>
    <t>Pre systém platia 3 z nasledujúcich položiek:
-	Musia byť poskytnuté efektívne procesy pre inicializáciu, zálohovanie a obnovu, ale zásah obsluhy je stále nevyhnutný.
-	Musia byť poskytnuté efektívne procesy pre inicializáciu, zálohovanie a obnovu a nie je potrebný žiadny zásah operátora (počíta sa ako dve položky).
-	Aplikácia musí minimalizovať potrebu ukladania dát v offline médiách (napríklad pásky).
-	Aplikácia musí minimalizovať potrebu zaobchádzania s papierom.</t>
  </si>
  <si>
    <t>Pre systém platia 4 z nasledujúcich položiek:
-	Musia byť poskytnuté efektívne procesy pre inicializáciu, zálohovanie a obnovu, ale zásah obsluhy je stále nevyhnutný.
-	Musia byť poskytnuté efektívne procesy pre inicializáciu, zálohovanie a obnovu a nie je potrebný žiadny zásah operátora (počíta sa ako dve položky).
-	Aplikácia musí minimalizovať potrebu ukladania dát v offline médiách (napríklad pásky).
-	Aplikácia musí minimalizovať potrebu zaobchádzania s papierom.</t>
  </si>
  <si>
    <t>Neexistuje žiadna požiadavka používateľa, aby sa zvážila potreba inštalácie aplikácie na viac ako jednu platformu</t>
  </si>
  <si>
    <t>Návrh musí brať do úvahy potrebu fungovania systému na rôznych platformách, ale aplikácia musí byť navrhnutá tak, aby fungovala iba v identických hardvérových a softvérových prostrediach.</t>
  </si>
  <si>
    <t>Návrh musí zohľadňovať potrebu systému pracovať na rôznych platformách, ale aplikácia musí byť navrhnutá tak, aby fungovala iba v podobných hardvérových a softvérových prostrediach.</t>
  </si>
  <si>
    <t>Návrh musí brať do úvahy potrebu systému pracovať na rôznych platformách, ale aplikácia musí byť navrhnutá tak, aby fungovala v heterogénnych hardvérových a softvérových prostrediach.</t>
  </si>
  <si>
    <t>Návrh musí brať do úvahy potrebu systému pracovať na rôznych platformách, ale aplikácia musí byť navrhnutá tak, aby fungovala v heterogénnych hardvérových a softvérových prostrediach.
Zároveň je je potrebné vypracovať a otestovať plán dokumentácie a údržby na podporu prevádzky na viacerých platformách.</t>
  </si>
  <si>
    <t>Návrh musí:
 - brať do úvahy potrebu fungovania systému na rôznych platformách, ale aplikácia musí byť navrhnutá tak, aby fungovala iba v identických hardvérových a softvérových prostrediach.
Zároveň musí byť vypracovaná a otestovaná dokumentácia a plán údržby na podporu prevádzky na viacerých platformách
 - ALEBO zohľadňovať potrebu systému pracovať na rôznych platformách, ale aplikácia musí byť navrhnutá tak, aby fungovala iba v podobných hardvérových a softvérových prostrediach
Zároveň 2 musí byť vypracovaná a otestovaná dokumentácia a plán údržby na podporu prevádzky na viacerých platformách</t>
  </si>
  <si>
    <t>Z nasledovných možností musí byť splnená 1:
-	Musí byť poskytnutá flexibilná štruktúra hlásenia pre prácu s jednoduchými dotazmi, ako sú logické binárne operátory aplikované iba na jeden logický archív (počítať ako jedna položka).
-	Musí byť poskytnutá flexibilná štruktúra hlásenia, aby sa dalo zvládnuť stredne zložité dotazy, ako napríklad logické binárne operátory aplikované na viac ako jeden logický archív (počítať ako dve položky).
-	Musí byť poskytnutá flexibilná štruktúra hlásenia, aby sa dalo zvládnuť vysoko zložité dotazy, ako sú kombinácie logických binárnych operátorov aplikované na jeden alebo viac logických archívov (počíta sa ako tri položky).
-	Údaje o podnikovej kontrole sa uchovávajú v tabuľkách spravovaných používateľom s interaktívnym online prístupom, zmeny však musia byť účinné až nasledujúci deň (počítajú sa ako jedna položka).
-	Obchodné kontrolné údaje sa uchovávajú v tabuľkách spravovaných používateľom s interaktívnym online prístupom a zmeny sú účinné okamžite (počítajú sa ako dve položky)</t>
  </si>
  <si>
    <t>Z nasledovných možností musia byť splnené 2:
-	Musí byť poskytnutá flexibilná štruktúra hlásenia pre prácu s jednoduchými dotazmi, ako sú logické binárne operátory aplikované iba na jeden logický archív (počítať ako jedna položka).
-	Musí byť poskytnutá flexibilná štruktúra hlásenia, aby sa dalo zvládnuť stredne zložité dotazy, ako napríklad logické binárne operátory aplikované na viac ako jeden logický archív (počítať ako dve položky).
-	Musí byť poskytnutá flexibilná štruktúra hlásenia, aby sa dalo zvládnuť vysoko zložité dotazy, ako sú kombinácie logických binárnych operátorov aplikované na jeden alebo viac logických archívov (počíta sa ako tri položky).
-	Údaje o podnikovej kontrole sa uchovávajú v tabuľkách spravovaných používateľom s interaktívnym online prístupom, zmeny však musia byť účinné až nasledujúci deň (počítajú sa ako jedna položka).
-	Obchodné kontrolné údaje sa uchovávajú v tabuľkách spravovaných používateľom s interaktívnym online prístupom a zmeny sú účinné okamžite (počítajú sa ako dve položky)</t>
  </si>
  <si>
    <t>Z nasledovných možností musia byť splnené 3:
-	Musí byť poskytnutá flexibilná štruktúra hlásenia pre prácu s jednoduchými dotazmi, ako sú logické binárne operátory aplikované iba na jeden logický archív (počítať ako jedna položka).
-	Musí byť poskytnutá flexibilná štruktúra hlásenia, aby sa dalo zvládnuť stredne zložité dotazy, ako napríklad logické binárne operátory aplikované na viac ako jeden logický archív (počítať ako dve položky).
-	Musí byť poskytnutá flexibilná štruktúra hlásenia, aby sa dalo zvládnuť vysoko zložité dotazy, ako sú kombinácie logických binárnych operátorov aplikované na jeden alebo viac logických archívov (počíta sa ako tri položky).
-	Údaje o podnikovej kontrole sa uchovávajú v tabuľkách spravovaných používateľom s interaktívnym online prístupom, zmeny však musia byť účinné až nasledujúci deň (počítajú sa ako jedna položka).
-	Obchodné kontrolné údaje sa uchovávajú v tabuľkách spravovaných používateľom s interaktívnym online prístupom a zmeny sú účinné okamžite (počítajú sa ako dve položky)</t>
  </si>
  <si>
    <t>Z nasledovných možností musia byť splnené 4:
-	Musí byť poskytnutá flexibilná štruktúra hlásenia pre prácu s jednoduchými dotazmi, ako sú logické binárne operátory aplikované iba na jeden logický archív (počítať ako jedna položka).
-	Musí byť poskytnutá flexibilná štruktúra hlásenia, aby sa dalo zvládnuť stredne zložité dotazy, ako napríklad logické binárne operátory aplikované na viac ako jeden logický archív (počítať ako dve položky).
-	Musí byť poskytnutá flexibilná štruktúra hlásenia, aby sa dalo zvládnuť vysoko zložité dotazy, ako sú kombinácie logických binárnych operátorov aplikované na jeden alebo viac logických archívov (počíta sa ako tri položky).
-	Údaje o podnikovej kontrole sa uchovávajú v tabuľkách spravovaných používateľom s interaktívnym online prístupom, zmeny však musia byť účinné až nasledujúci deň (počítajú sa ako jedna položka).
-	Obchodné kontrolné údaje sa uchovávajú v tabuľkách spravovaných používateľom s interaktívnym online prístupom a zmeny sú účinné okamžite (počítajú sa ako dve položky)</t>
  </si>
  <si>
    <t>Z nasledovných možností musia byť splnených 5 alebo viac:
-	Musí byť poskytnutá flexibilná štruktúra hlásenia pre prácu s jednoduchými dotazmi, ako sú logické binárne operátory aplikované iba na jeden logický archív (počítať ako jedna položka).
-	Musí byť poskytnutá flexibilná štruktúra hlásenia, aby sa dalo zvládnuť stredne zložité dotazy, ako napríklad logické binárne operátory aplikované na viac ako jeden logický archív (počítať ako dve položky).
-	Musí byť poskytnutá flexibilná štruktúra hlásenia, aby sa dalo zvládnuť vysoko zložité dotazy, ako sú kombinácie logických binárnych operátorov aplikované na jeden alebo viac logických archívov (počíta sa ako tri položky).
-	Údaje o podnikovej kontrole sa uchovávajú v tabuľkách spravovaných používateľom s interaktívnym online prístupom, zmeny však musia byť účinné až nasledujúci deň (počítajú sa ako jedna položka).
-	Obchodné kontrolné údaje sa uchovávajú v tabuľkách spravovaných používateľom s interaktívnym online prístupom a zmeny sú účinné okamžite (počítajú sa ako dve položky)</t>
  </si>
  <si>
    <t>Neočakáva sa žiadny súbežný prístup k údajom</t>
  </si>
  <si>
    <t>Niekedy sa očakáva súbežný prístup k údajom</t>
  </si>
  <si>
    <t>Súčasný prístup k údajom sa očakáva často</t>
  </si>
  <si>
    <t>Súčasný prístup k údajom sa očakáva neustále</t>
  </si>
  <si>
    <t>Súčasný prístup k údajom sa očakáva neustále a zároveň, si táto situácia vynúti úlohy analýzy výkonu a zablokovanie riešenia počas návrhu</t>
  </si>
  <si>
    <t>Súčasný prístup k údajom sa očakáva neustále a zároveň, si táto situácia vynúti úlohy analýzy výkonu a zablokovanie riešenia počas návrhu.
Pričom budú potrebné na kontrolu prístupu aj špeciálne nástroje.</t>
  </si>
  <si>
    <t>Neexistujú žiadne špeciálne požiadavky týkajúce sa bezpečnosti.</t>
  </si>
  <si>
    <t>Pri návrhu sa musí brať do úvahy potreba bezpečnosti.</t>
  </si>
  <si>
    <t>Pri návrhu sa musí brať do úvahy potreba bezpečnosti.
Aplikácia musí byť navrhnutá tak, aby k nej mali prístup iba autorizovaní používatelia.</t>
  </si>
  <si>
    <t>Pri návrhu sa musí brať do úvahy potreba bezpečnosti.
Aplikácia musí byť navrhnutá tak, aby k nej mali prístup iba autorizovaní používatelia.
Zároveň bude kontrolovaný a kontrolovaný prístup do systému</t>
  </si>
  <si>
    <t>Pri návrhu sa musí brať do úvahy potreba bezpečnosti.
Aplikácia musí byť navrhnutá tak, aby k nej mali prístup iba autorizovaní používatelia.
Zároveň bude kontrolovaný a kontrolovaný prístup do systému.
Rovnako bude potrebné vypracovať a otestovať bezpečnostný plán na podporu riadenia prístupu k aplikácii</t>
  </si>
  <si>
    <t>Pri návrhu sa musí brať do úvahy potreba bezpečnosti.
Aplikácia musí byť navrhnutá tak, aby k nej mali prístup iba autorizovaní používatelia.
Zároveň bude kontrolovaný a kontrolovaný prístup do systému.
Rovnako bude potrebné vypracovať a otestovať bezpečnostný plán na podporu riadenia prístupu k aplikácii ako aj vypracovať a otestovať bezpečnostný plán, ktorý podporí sluch.</t>
  </si>
  <si>
    <t>Na vývoj aplikácie sa vo veľkej miere použije vysoko spoľahlivý už existujúci kód.</t>
  </si>
  <si>
    <t>V malých častiach aplikácie sa použije vysoko spoľahlivý už existujúci kód.</t>
  </si>
  <si>
    <t>Pre aplikáciu sa vo veľkej miere použije predbežný kód, ktorý je nakoniec potrebné upraviť.</t>
  </si>
  <si>
    <t>Predbežný kód, ktorý je nakoniec potrebné upraviť, sa použije v malých častiach aplikácie.</t>
  </si>
  <si>
    <t>V aplikácii sa použije pôvodný kód, ktorý je potrebné opraviť alebo je mu ťažko porozumieť.</t>
  </si>
  <si>
    <t>V aplikácii sa nepoužije žiadny predtým existujúci kód alebo sa v aplikácii použije pochybný kód kvality</t>
  </si>
  <si>
    <t>Neexistujú žiadne špecifické požiadavky na školenie používateľov.</t>
  </si>
  <si>
    <t>Boli spomenuté konkrétne požiadavky na školenie používateľov.</t>
  </si>
  <si>
    <t>Existujú formálne špecifické požiadavky na školenie používateľov a aplikácia musí byť navrhnutá tak, aby uľahčila školenie.</t>
  </si>
  <si>
    <t>Existujú formálne špecifické požiadavky na školenie používateľov a aplikácia musí byť navrhnutá na podporu používateľov s rôznymi úrovňami školenia.</t>
  </si>
  <si>
    <t>Pre prechodnú fázu musí byť vypracovaný a vykonaný podrobný plán výcviku.</t>
  </si>
  <si>
    <t>Pre prechodnú fázu musí byť vypracovaný a vykonaný podrobný plán výcviku a používatelia sú geograficky rozdelení.</t>
  </si>
  <si>
    <t>Tím nemá skúsenosti s vývojovým procesom alebo nepoužíva žiadny proces.</t>
  </si>
  <si>
    <t>Tím má teoretické vedomosti o vývojovom procese, ale nemá skúsenosti.</t>
  </si>
  <si>
    <t>Niekoľko členov tímu už použilo postup v jednom projekte.</t>
  </si>
  <si>
    <t>Niekoľko členov tímu využilo postup vo viac ako jednom projekte.</t>
  </si>
  <si>
    <t>Až polovica tímu použila postup v mnohých projektoch.</t>
  </si>
  <si>
    <t>Viac ako polovica tímu použila postup v mnohých projektoch.</t>
  </si>
  <si>
    <t>Žiadny člen tímu nemá skúsenosti s projektmi v rovnakej oblasti.</t>
  </si>
  <si>
    <t>Niektorí členovia tímu majú 6 až 12 mesiacov skúseností s projektmi v rovnakej oblasti.</t>
  </si>
  <si>
    <t>Niektorí členovia tímu majú 12 až 18 mesiacov skúseností s projektmi v rovnakej oblasti.</t>
  </si>
  <si>
    <t>Väčšina členov tímu má 18 až 24 mesiacov skúseností s projektmi v rovnakej oblasti.</t>
  </si>
  <si>
    <t>Väčšina členov tímu má viac ako dvojročné skúsenosti v rovnakej oblasti.</t>
  </si>
  <si>
    <t>Všetci členovia tímu majú viac ako dvojročné skúsenosti v rovnakej oblasti.</t>
  </si>
  <si>
    <t>Tím nemá skúsenosti s objektovo orientovanými technikami.</t>
  </si>
  <si>
    <t>Všetci členovia tímu majú určité skúsenosti s objektovo orientovanými technikami (až do jedného roka).</t>
  </si>
  <si>
    <t>Väčšina členov tímu má 12 až 18 mesiacov skúseností s objektovo orientovanými technikami.</t>
  </si>
  <si>
    <t>Všetci členovia tímu majú 12 až 18 mesiacov skúseností alebo väčšina členov tímu má 18 až 24 mesiacov skúseností v oblasti objektovo orientovaných techník</t>
  </si>
  <si>
    <t>Väčšina členov tímu má viac ako dvojročné skúsenosti s objektovo orientovanými technikami.</t>
  </si>
  <si>
    <t>Všetci členovia tímu majú viac ako dvojročné skúsenosti s objektovo orientovanými technikami.</t>
  </si>
  <si>
    <t>Vedúci analytik nemá skúsenosti.</t>
  </si>
  <si>
    <t>Vedúci analytik má predchádzajúce skúsenosti s jedným podobným projektom.</t>
  </si>
  <si>
    <t>Vedúci analytik má asi rok skúseností s viac ako jedným podobným projektom</t>
  </si>
  <si>
    <t>Vedúci analytik má asi dvojročné skúsenosti s podobnými projektmi.</t>
  </si>
  <si>
    <t>Vedúci analytik má viac ako dvojročné skúsenosti s podobnými projektmi.</t>
  </si>
  <si>
    <t>Vedúci analytik má viac ako tri roky skúseností v rôznych projektoch.</t>
  </si>
  <si>
    <t>Tím nemá vôbec žiadnu motiváciu. Bez neustáleho dohľadu sa tím stáva neproduktívnym. Tím robí iba to, na čo sa prísne žiada.</t>
  </si>
  <si>
    <t>Tím má veľmi malú motiváciu. Na udržanie produktivity na prijateľnej úrovni je nevyhnutný stály dohľad.</t>
  </si>
  <si>
    <t>Tím má malú motiváciu. Na udržanie produktivity sú z času na čas potrebné zásahy manažmentu.</t>
  </si>
  <si>
    <t>Tím má určitú motiváciu. Tím má zvyčajne iniciatívu, ale na udržanie produktivity je stále nevyhnutný zásah manažmentu.</t>
  </si>
  <si>
    <t>Tím je dobre motivovaný. Tím zvyčajne riadi sám, ale existencia dohľadu je stále nevyhnutná, pretože bez neho je možné stratiť produktivitu</t>
  </si>
  <si>
    <t>Tím je vysoko motivovaný. Aj bez dozoru každý vie, čo treba urobiť, a tempo sa udržuje donekonečna.</t>
  </si>
  <si>
    <t>Neexistujú historické údaje o stabilite požiadaviek alebo v minulosti zlá analýza spôsobila veľké zmeny v požiadavkách po začiatku projektu</t>
  </si>
  <si>
    <t>Požiadavky boli v minulosti prevažne nestabilné. Klienti požiadali o veľa zmien spôsobených hlavne neúplnými alebo nesprávnymi požiadavkami</t>
  </si>
  <si>
    <t>Požiadavky boli v minulosti nestabilné. Klienti požiadali o zmeny spôsobené neúplnými alebo nesprávnymi požiadavkami.</t>
  </si>
  <si>
    <t>Požiadavky boli v minulosti pomerne stabilné. Klienti požiadali o zmeny sekundárnych funkcionalít s určitou pravidelnosťou. Zmeny hlavných funkcií boli žiadané zriedka.</t>
  </si>
  <si>
    <t>Požiadavky boli v minulosti väčšinou stabilné. Používatelia požadovali malé zmeny, najmä tie kozmetické. Zmeny hlavných alebo vedľajších funkcií boli neobvyklé.</t>
  </si>
  <si>
    <t>Požiadavky boli v minulosti úplne stabilné. Malé zmeny, ak nejaké boli, nemali žiadny vplyv na projekty</t>
  </si>
  <si>
    <t>Žiadny člen tímu nie je na čiastočný úväzok na projekte.</t>
  </si>
  <si>
    <t>Až 10% tímu je na čiastočný úväzok.</t>
  </si>
  <si>
    <t>Až 20% tímu je na čiastočný úväzok.</t>
  </si>
  <si>
    <t>Až 40% tímu je na čiastočný úväzok.</t>
  </si>
  <si>
    <t>Až 60% tímu je na čiastočný úväzok.</t>
  </si>
  <si>
    <t>Viac ako 60% tímu je na čiastočný úväzok.</t>
  </si>
  <si>
    <t>Všetci členovia tímu sú veľmi skúsení programátori.</t>
  </si>
  <si>
    <t>Väčšina členov tímu má minimálne dvojročné skúsenosti s programovaním.</t>
  </si>
  <si>
    <t>Všetci členovia tímu majú najmenej 18 mesiacov skúseností s programovaním.</t>
  </si>
  <si>
    <t>Väčšina členov tímu má najmenej 18 mesiacov skúseností s programovaním.</t>
  </si>
  <si>
    <t>Niekoľko členov tímu má skúsenosti s programovaním (nie viac ako jeden rok).</t>
  </si>
  <si>
    <t>Všetci členovia tímu sú neskúsení programátori.</t>
  </si>
  <si>
    <t>Nápoveda pre danú hodnotu</t>
  </si>
  <si>
    <t>Vlastné OPEX</t>
  </si>
  <si>
    <t>Vlastné CAPEX</t>
  </si>
  <si>
    <t>Externé projetkové riadenie</t>
  </si>
  <si>
    <t>% v aktivite</t>
  </si>
  <si>
    <t>Počet FTE v aktivite</t>
  </si>
  <si>
    <t>Počet MDs Hlavné aktivity</t>
  </si>
  <si>
    <t>Počet MDs Podporné aktivity</t>
  </si>
  <si>
    <t>Špecialista na publicitu</t>
  </si>
  <si>
    <t>Externá publicita a informovanosť</t>
  </si>
  <si>
    <t>Manažér pre publicitu</t>
  </si>
  <si>
    <t>Z toho rozpočtové opatrenie</t>
  </si>
  <si>
    <t>Rozpočtové opatrenie %</t>
  </si>
  <si>
    <t>Sadzba v projekte bez DPH</t>
  </si>
  <si>
    <t>Max % v projekte na HA</t>
  </si>
  <si>
    <t xml:space="preserve">Pozície z OPII opravnenosti výdavkov </t>
  </si>
  <si>
    <t>IT programátor /vývojár</t>
  </si>
  <si>
    <t>Manažér kybernetickej a informačnej bezpečnosti</t>
  </si>
  <si>
    <t>Špecialista infrašktuktúry/HW špecialista</t>
  </si>
  <si>
    <t>IT konzultant</t>
  </si>
  <si>
    <t>Špecialista pre IT bezpečnosť</t>
  </si>
  <si>
    <t>Riadiaci pracovník (manažér) riešení IT</t>
  </si>
  <si>
    <t>Systémový programátor</t>
  </si>
  <si>
    <t>Softvérový architekt, dizajnér</t>
  </si>
  <si>
    <t>Analytik IKT</t>
  </si>
  <si>
    <t>IT architekt, projektant</t>
  </si>
  <si>
    <t>Databázový dizajnér</t>
  </si>
  <si>
    <t>Špecialista riadenia systému kvality</t>
  </si>
  <si>
    <t>Špecialista v oblasti počítačových sietí</t>
  </si>
  <si>
    <t>Databázový analytik</t>
  </si>
  <si>
    <t>Špecialista informačnej a kybernetickej bezpečnosti</t>
  </si>
  <si>
    <t>Riadiaci pracovník (manažér) informačnej a kybernetickej bezpečnosti</t>
  </si>
  <si>
    <t>ISCO pozícia</t>
  </si>
  <si>
    <t>ISCO kód</t>
  </si>
  <si>
    <t>Mechanik počítačových sietí</t>
  </si>
  <si>
    <t>Správca digitálneho obsahu (Digital Content Manager)</t>
  </si>
  <si>
    <t>Operátor klientskej podpory IKT</t>
  </si>
  <si>
    <t>Technik užívateľskej podpory IKT</t>
  </si>
  <si>
    <t>Aplikačný programátor</t>
  </si>
  <si>
    <t>Špecialista prevádzky mobilných a pevných technológií</t>
  </si>
  <si>
    <t>Pracovníci informačných služieb inde neuvedení</t>
  </si>
  <si>
    <t>Pozicia Vyber</t>
  </si>
  <si>
    <t>Projektovy_manazer</t>
  </si>
  <si>
    <t>IT_programator</t>
  </si>
  <si>
    <t>IT_analytik</t>
  </si>
  <si>
    <t>IT_architekt</t>
  </si>
  <si>
    <t>Kvalita</t>
  </si>
  <si>
    <t>IT_tester</t>
  </si>
  <si>
    <t>Infrastrutkura</t>
  </si>
  <si>
    <t>Databazy</t>
  </si>
  <si>
    <t>IT_konzultant</t>
  </si>
  <si>
    <t>Bezpecnost</t>
  </si>
  <si>
    <t>Skolenie</t>
  </si>
  <si>
    <t>Ine</t>
  </si>
  <si>
    <t>Iná špecifická rola</t>
  </si>
  <si>
    <t>OPII</t>
  </si>
  <si>
    <t>Nazov vyberu</t>
  </si>
  <si>
    <t>ISCO pozicie</t>
  </si>
  <si>
    <t>ISCO kod</t>
  </si>
  <si>
    <r>
      <rPr>
        <b/>
        <sz val="11"/>
        <color theme="0"/>
        <rFont val="Calibri Light"/>
        <family val="2"/>
        <scheme val="major"/>
      </rPr>
      <t>Sadzba - revízia výdavkov</t>
    </r>
    <r>
      <rPr>
        <b/>
        <sz val="11"/>
        <color theme="0"/>
        <rFont val="Calibri Light"/>
        <family val="1"/>
        <charset val="2"/>
        <scheme val="major"/>
      </rPr>
      <t xml:space="preserve"> bez DPH</t>
    </r>
  </si>
  <si>
    <t>Manažér pre monitoring</t>
  </si>
  <si>
    <t>Špecialista na Verejné obstarávanie</t>
  </si>
  <si>
    <t>MD Rate bez DPH</t>
  </si>
  <si>
    <t>Suma bez DPH</t>
  </si>
  <si>
    <t>Odmeny v %</t>
  </si>
  <si>
    <t>MDs interné / Suma hlavné</t>
  </si>
  <si>
    <t xml:space="preserve">Suma </t>
  </si>
  <si>
    <t>Počet MDs z UCP</t>
  </si>
  <si>
    <t>% dotácie / pomocne</t>
  </si>
  <si>
    <t>IT Analytik</t>
  </si>
  <si>
    <t>Vlastník údajov</t>
  </si>
  <si>
    <t>Kľúčový používateľ</t>
  </si>
  <si>
    <t>Účtovník</t>
  </si>
  <si>
    <t>Biznis analytik</t>
  </si>
  <si>
    <t>Aktivita</t>
  </si>
  <si>
    <t>Pracovník v administratíve</t>
  </si>
  <si>
    <t>MODULY</t>
  </si>
  <si>
    <t>modul 2</t>
  </si>
  <si>
    <t>Funkcna poziadavka</t>
  </si>
  <si>
    <t>OPEX / CAPEX</t>
  </si>
  <si>
    <t>ESIF OPEX</t>
  </si>
  <si>
    <t>ESIF CAPEX</t>
  </si>
  <si>
    <t>OPEX</t>
  </si>
  <si>
    <t>CAPEX</t>
  </si>
  <si>
    <t>ks</t>
  </si>
  <si>
    <t>Funkcia 1</t>
  </si>
  <si>
    <t>Funkcia 1 1</t>
  </si>
  <si>
    <t>Garant</t>
  </si>
  <si>
    <t>Ušetrené náklady IT a náklady na materiál</t>
  </si>
  <si>
    <t>Materiál</t>
  </si>
  <si>
    <t>Verzia dokumentu: v1.5</t>
  </si>
  <si>
    <t>Rok začatia supportu / prevádzky</t>
  </si>
  <si>
    <t>Mesiacov od začiatku</t>
  </si>
  <si>
    <t>POČET PRÍSTUPOVÝCH KANÁLOV / POCET UC</t>
  </si>
  <si>
    <t>ZLOŽITOSŤ POŽIADAVKY</t>
  </si>
  <si>
    <t>VÝSLEDOK ZLOŽITOSTI</t>
  </si>
  <si>
    <t>ODHADNUTÁ PRÁCNOSŤ</t>
  </si>
  <si>
    <t>ČÍSLO
INKREMENTU</t>
  </si>
  <si>
    <t>SPÔSOB OVERENIA
ODBERATEĽOM</t>
  </si>
  <si>
    <t>Počet MDs z rozpočtu</t>
  </si>
  <si>
    <t>Používateľ x</t>
  </si>
  <si>
    <t>Číselník pozícií</t>
  </si>
  <si>
    <t>Súlad s max</t>
  </si>
  <si>
    <t>Korigovaný štart</t>
  </si>
  <si>
    <t>POO OPEX</t>
  </si>
  <si>
    <t>POO CAPEX</t>
  </si>
  <si>
    <t>Ostatné výdavky</t>
  </si>
  <si>
    <t>Ostatné zmiešané výdavky</t>
  </si>
  <si>
    <t>Publicita,  informovanosť, ostatné výdavky</t>
  </si>
  <si>
    <t>637003/637004/...</t>
  </si>
  <si>
    <t>Verzia dokumentu: v1.9</t>
  </si>
  <si>
    <t>Centrálny informačný systém na riadenie IT aktív</t>
  </si>
  <si>
    <t>Manažér zákazky</t>
  </si>
  <si>
    <t>Odborník na legislatívu</t>
  </si>
  <si>
    <t>Asistent manažéra zákazky</t>
  </si>
  <si>
    <t>Snow Risk Monitor (SaaS) na 1 rok</t>
  </si>
  <si>
    <t>Nástroj na riadenie cloudových služieb a zdrojov (FinOps) (SaaS) na 1.rok</t>
  </si>
  <si>
    <t>Inventarizácia HW (počet zariadení)</t>
  </si>
  <si>
    <t>Inventarizácia SW (počet zariadení)</t>
  </si>
  <si>
    <t>Optimalizácia nákladov na SW vo verejnej správe</t>
  </si>
  <si>
    <t xml:space="preserve">Rok 2024 má dokopy 251 pracovných dní, t.j. 1882,5 pracovných hodín. S platenými sviatkami má rok 262 pracovných dní, t.j. 1965 pracovných hodín. 7,5 hodinový pracovný čas (obdobie aktualizovať k času predloženia dokumentu), podľa https://calendar.zoznam.sk/worktime-sksk.php </t>
  </si>
  <si>
    <t>Rok 2024 má dokopy 251 pracovných dní, t.j. 2088 pracovných hodín. S platenými sviatkami má rok 262 pracovných dní, t.j. 2096 pracovných hodín.. 8 hodinový pracovný čas (obdobie aktualizovať k času predloženia dokumentu), podľa https://calendar.zoznam.sk/worktime-sksk.php</t>
  </si>
  <si>
    <t>Služby v oblasti optimalizácie IT aktív</t>
  </si>
  <si>
    <t>Licencia IS ITAM desktop na 1 rok (ITAM 1.0)</t>
  </si>
  <si>
    <t>Licencia IS ITAM server na 1 rok (ITAM 1.0)</t>
  </si>
  <si>
    <t>Nástroj na riadenie cloudových služieb a zdrojov (FinOps) (SaaS) na 2.rok</t>
  </si>
  <si>
    <t>Nástroj na riadenie cloudových služieb a zdrojov (FinOps) (SaaS) na 3.rok</t>
  </si>
  <si>
    <t>Snow Risk Monitor</t>
  </si>
  <si>
    <t>FinOps platforma</t>
  </si>
  <si>
    <t>Prieskum trhu - email - Snow / SoftwareOne</t>
  </si>
  <si>
    <t>Prieskum trhu - email - SoftwareOne
Odhad ceny licencie ako 3% z predpokladaného ročného cloudového spendu v prvom roku v objeme 60 000 EUR</t>
  </si>
  <si>
    <t>Prieskum trhu - email - SoftwareOne
Odhad ceny licencie ako 3% z predpokladaného ročného cloudového spendu v prvom roku v objeme 200 000 EUR</t>
  </si>
  <si>
    <t>Prieskum trhu - email - SoftwareOne
Odhad ceny licencie ako 3% z predpokladaného ročného cloudového spendu v prvom roku v objeme 400 000 EUR</t>
  </si>
  <si>
    <t>Ceny v zmysle platnej zmluvy</t>
  </si>
  <si>
    <t>SAM expert / APM expert / FinOps expert</t>
  </si>
  <si>
    <t>IS ITAM expert (Snow platforma)</t>
  </si>
  <si>
    <t>Expert pre riadenie zavedenia zmeny</t>
  </si>
  <si>
    <t>Licenčný špecialista</t>
  </si>
  <si>
    <t>Kľúčoví používatelia za 7 rezortných ITAMov</t>
  </si>
  <si>
    <t>Licencia IS ITAM device po prvom roku (ITAM 2.0)</t>
  </si>
  <si>
    <t>Licencia IS ITAM device na 1. rok (ITAM 2.0)</t>
  </si>
  <si>
    <t>IS ITAM</t>
  </si>
  <si>
    <t>FR01</t>
  </si>
  <si>
    <t>Správa rozpočtov a plánovanie</t>
  </si>
  <si>
    <t>Plánovanie výdavkov</t>
  </si>
  <si>
    <t>Systém má umožniť plánovanie výdavkov na základe rozpočtu.</t>
  </si>
  <si>
    <t>I. Hladík</t>
  </si>
  <si>
    <t>FR02</t>
  </si>
  <si>
    <t>Integrácia organizačnej štruktúry</t>
  </si>
  <si>
    <t>Systém má umožniť tvorbu rozpočtu na základe organizačnej štruktúry.</t>
  </si>
  <si>
    <t>FR03</t>
  </si>
  <si>
    <t>Integrácia predplatného/účtov</t>
  </si>
  <si>
    <t>Systém má umožniť tvorbu rozpočtu na základe predplatného / účtov.</t>
  </si>
  <si>
    <t>FR04</t>
  </si>
  <si>
    <t>Notifikácie na základe rozpočtových parametrov</t>
  </si>
  <si>
    <t>Systém má umožniť generovanie upozornení – upozornení na rozpočtové plány.</t>
  </si>
  <si>
    <t>FR05</t>
  </si>
  <si>
    <t>Analýza rozpočtových dát</t>
  </si>
  <si>
    <t xml:space="preserve">Systém má umožniť vykonať analýzy založené na rozpočte. </t>
  </si>
  <si>
    <t>FR06</t>
  </si>
  <si>
    <t>Spätná platba (Chargeback) &amp; Integrácia IT financií</t>
  </si>
  <si>
    <t>Tvorba spätných platieb</t>
  </si>
  <si>
    <t>Systém má umožniť tvorbu spätných platieb (Chargebacks).</t>
  </si>
  <si>
    <t>FR07</t>
  </si>
  <si>
    <t>Priradenie vlastníka spätných platieb</t>
  </si>
  <si>
    <t xml:space="preserve">Systém má umožniť priradenie vlastníka spätných platieb (Chargeback). </t>
  </si>
  <si>
    <t>FR08</t>
  </si>
  <si>
    <t>Generovanie faktúr spätných platieb</t>
  </si>
  <si>
    <t>Systém má umožniť generovanie faktúr spätných platieb (Chargeback).</t>
  </si>
  <si>
    <t>FR09</t>
  </si>
  <si>
    <t>Priradenie organizačného útvaru</t>
  </si>
  <si>
    <t>Systém má umožniť priradenie organizačného útvaru.</t>
  </si>
  <si>
    <t>FR10</t>
  </si>
  <si>
    <t>Kontrola Markup-u</t>
  </si>
  <si>
    <t>Systém má umožniť kontrolu Markup-u.</t>
  </si>
  <si>
    <t>FR11</t>
  </si>
  <si>
    <t>Úprava spätných platieb podľa organizačnej štruktúry</t>
  </si>
  <si>
    <t>Systém má umožniť vlastné spätné platby (chargebacks) založené na organizačných útvaroch.</t>
  </si>
  <si>
    <t>FR12</t>
  </si>
  <si>
    <t>Úprava spätných platieb podľa predplatného/účtov</t>
  </si>
  <si>
    <t>Systém má umožniť vlastné spätné platby (chargebacks) založené na predplatnom / účtoch viacerých poskytovateľoch cloudu.</t>
  </si>
  <si>
    <t>FR13</t>
  </si>
  <si>
    <t>Plánovanie spätných platieb</t>
  </si>
  <si>
    <t>Systém má umožniť plánovanie spätných platieb (chargebacks).</t>
  </si>
  <si>
    <t>FR14</t>
  </si>
  <si>
    <t>Cloud Politiky &amp; Správa</t>
  </si>
  <si>
    <t>Notifikácie pri prekročení spotreby</t>
  </si>
  <si>
    <t>Systém má generovať upozornenie - na prekročenie spotreby.</t>
  </si>
  <si>
    <t>FR15</t>
  </si>
  <si>
    <t>Notifikácie výkyvov spotreby</t>
  </si>
  <si>
    <t>Systém má generovať upozornenie - na výkyvy spotreby.</t>
  </si>
  <si>
    <t>FR16</t>
  </si>
  <si>
    <t>Notifikácie rozpočtových limitov</t>
  </si>
  <si>
    <t>Systém má generovať upozornenie - na rozpočtové limity.</t>
  </si>
  <si>
    <t>FR17</t>
  </si>
  <si>
    <t>Upozornenie na zdroje bez označenia</t>
  </si>
  <si>
    <t>Systém má generovať upozornenie - na nové zdroje bez označenia (tags).</t>
  </si>
  <si>
    <t>FR18</t>
  </si>
  <si>
    <t>Alokácie nákladov (metadáta a hierarchia)</t>
  </si>
  <si>
    <t>Manažment tagov naprieč poskytovateľmi</t>
  </si>
  <si>
    <t>Systém má poskytovať správu označení/tag-ov naprieč poskytovateľmi.</t>
  </si>
  <si>
    <t>FR19</t>
  </si>
  <si>
    <t>Synchronizácia tagov naprieč poskytovateľmi</t>
  </si>
  <si>
    <t>Systém má umožňovať synchronizáciu označení/tag-ov medzi poskytovateľmi cloudových služieb.</t>
  </si>
  <si>
    <t>FR20</t>
  </si>
  <si>
    <t>Možnosť používať virtuálne tagy</t>
  </si>
  <si>
    <t>Systém má umožňovať používanie virtuálnych označení/tag-ov na prostriedkoch, ktoré sa nedajú označiť.</t>
  </si>
  <si>
    <t>FR21</t>
  </si>
  <si>
    <t>Notifikácie na nové zdroje bez označenia</t>
  </si>
  <si>
    <t>Systém má umožňovať správu označení/tag-ov – Upozornenie na nové zdroje bez označení.</t>
  </si>
  <si>
    <t>FR22</t>
  </si>
  <si>
    <t>Tvorba vlastnej organizačnej štruktúry</t>
  </si>
  <si>
    <t xml:space="preserve">Systém má umožňovať tvorbu vlastnej štruktúry organizačných útvarov. </t>
  </si>
  <si>
    <t>FR23</t>
  </si>
  <si>
    <t>Pridanie zdrojov k organizačnej štruktúre</t>
  </si>
  <si>
    <t xml:space="preserve">Systém má umožňovať priradenie zdrojov k organizačnej štruktúre. </t>
  </si>
  <si>
    <t>FR24</t>
  </si>
  <si>
    <t>Automatizácia pridávania zdrojov na základe pravidiel</t>
  </si>
  <si>
    <t>Systém má poskytovať automatické prideľovanie zdrojov na základe pravidiel.</t>
  </si>
  <si>
    <t>FR25</t>
  </si>
  <si>
    <t>Automatické generovanie organizačnej štruktúry na základe tagov</t>
  </si>
  <si>
    <t>Systém má umožňovať automatické generovanie organizačnej štruktúry na základe označení/tag-ov alebo zdrojov.</t>
  </si>
  <si>
    <t>FR26</t>
  </si>
  <si>
    <t>Alokácia virtuálnych zdrojov a nákladov</t>
  </si>
  <si>
    <t>Systém má umožňovať alokáciu virtuálnych zdrojov a nákladov.</t>
  </si>
  <si>
    <t>FR27</t>
  </si>
  <si>
    <t>Alokácia nákladov ku kontajnerom</t>
  </si>
  <si>
    <t>Systém má poskytovať kontajnery - možnosť alokácie nákladov.</t>
  </si>
  <si>
    <t>FR28</t>
  </si>
  <si>
    <t>Analýza dát a spätné zobrazenie (Showback)</t>
  </si>
  <si>
    <t>Analýza a konsolidácia spotreby podľa poskytovateľa cloudu</t>
  </si>
  <si>
    <t xml:space="preserve">Systém má umožňovať analýzu a konsolidáciu spotreby jedného poskytovateľa cloudu. </t>
  </si>
  <si>
    <t>FR29</t>
  </si>
  <si>
    <t>Analýza a konsolidácia spotreby viacerých poskytovateľov cloudu</t>
  </si>
  <si>
    <t xml:space="preserve">Systém má umožňovať analýzu a konsolidáciu spotreby viacerých poskytovateľov cloudu. </t>
  </si>
  <si>
    <t>FR30</t>
  </si>
  <si>
    <t>Analýza spotreby na základe tagov podľa poskytovateľa cloudu</t>
  </si>
  <si>
    <t>Systém má umožňovať analýza spotreby v rámci označení/tag-ov jednotlivých poskytovateľov cloudu.</t>
  </si>
  <si>
    <t>FR31</t>
  </si>
  <si>
    <t>Analýza spotreby na základe tagov  viacerých poskytovateľov cloudu</t>
  </si>
  <si>
    <t>Systém má umožňovať analýzu spotreby v rámci označení/tag-ov viacerých poskytovateľov cloudu.</t>
  </si>
  <si>
    <t>FR32</t>
  </si>
  <si>
    <t>Sledovanie spotreby</t>
  </si>
  <si>
    <t>Systém má umožňovať sledovanie prekročenia spotreby.</t>
  </si>
  <si>
    <t>FR33</t>
  </si>
  <si>
    <t>Sledovanie výkyvov spotreby</t>
  </si>
  <si>
    <t>Systém má umožňovať sledovanie výkyvov spotreby.</t>
  </si>
  <si>
    <t>FR34</t>
  </si>
  <si>
    <t>Dáta - Prístup k údajom používateľa</t>
  </si>
  <si>
    <t>Manažment prístupov na základe rolí (RBAC)</t>
  </si>
  <si>
    <t>Systém má umožňovať riadenie prístupu na základe používateľských rolí (RBAC).</t>
  </si>
  <si>
    <t>FR35</t>
  </si>
  <si>
    <t>Náhľad používateľa podľa účtov poskytovateľa</t>
  </si>
  <si>
    <t>Systém má umožňovať poskytovanie náhľadu používateľa v rámci hlavných platcov a účtov/predplatiteľských účtov.</t>
  </si>
  <si>
    <t>FR36</t>
  </si>
  <si>
    <t xml:space="preserve">Dáta - uchovávanie a obnova </t>
  </si>
  <si>
    <t>Uchovávanie dát</t>
  </si>
  <si>
    <t>Systém má umožňovať úplné uchovávanie dát.</t>
  </si>
  <si>
    <t>FR37</t>
  </si>
  <si>
    <t>Zabezpečenie cyklu obnovy dát</t>
  </si>
  <si>
    <t>Systém má umožňovať zabezpečenie cyklu obnovy dát.</t>
  </si>
  <si>
    <t>FR38</t>
  </si>
  <si>
    <t>Vytvorenie rozhodovacej a zodpovednostnej štruktúry FinOps</t>
  </si>
  <si>
    <t>Možnosť prijať/odmietnuť odporúčania na úsporu nákladov</t>
  </si>
  <si>
    <t>Systém má umožňovať vytvorenie možnosti prijať/odmietnuť odporúčania na úsporu nákladov.</t>
  </si>
  <si>
    <t>FR39</t>
  </si>
  <si>
    <t>Prehľad celkových úspor</t>
  </si>
  <si>
    <t xml:space="preserve">Systém má poskytovať prehľad o celkových potenciálnych úsporách. </t>
  </si>
  <si>
    <t>FR40</t>
  </si>
  <si>
    <t>Filtrovanie a zoskupovanie úspor podľa stratégie</t>
  </si>
  <si>
    <t xml:space="preserve">Systém má poskytovať prehľad potenciálnych úspor - zoskupených/vyfiltrovaných podľa stratégie úspor. </t>
  </si>
  <si>
    <t>FR41</t>
  </si>
  <si>
    <t>Prehľad potenciálnych úspor podľa zdrojov</t>
  </si>
  <si>
    <t>Systém má poskytovať prehľad o potenciálnych úsporách na úrovni zdrojov.</t>
  </si>
  <si>
    <t>FR42</t>
  </si>
  <si>
    <t>Prehľad potenciálnych úspor podľa organizačnej štruktúry</t>
  </si>
  <si>
    <t>Systém má umožňovať zobrazenie potenciálnych úspor podľa organizačnej štruktúry.</t>
  </si>
  <si>
    <t>FR43</t>
  </si>
  <si>
    <t>FinOps edukácia &amp; aktivácia</t>
  </si>
  <si>
    <t>Certifikácia podľa FinOps Foundation</t>
  </si>
  <si>
    <t xml:space="preserve">Systém má byť certifikovaný podľa FinOps Foundation. </t>
  </si>
  <si>
    <t>FR44</t>
  </si>
  <si>
    <t xml:space="preserve">Efektívna analýza cien </t>
  </si>
  <si>
    <t>Prezentácia presných nákladov</t>
  </si>
  <si>
    <t>Systém má umožňovať tvorbu vlastnej ceny (dohodnutá zľava), za účelom prezentácie presných nákladov.</t>
  </si>
  <si>
    <t>FR45</t>
  </si>
  <si>
    <t>Prezentácia presných nákladov za rezervované inštancie</t>
  </si>
  <si>
    <t xml:space="preserve">Systém má umožňovať zahrnúť zľavy za rezervované inštancie za účelom prezentácie presných nákladov. </t>
  </si>
  <si>
    <t>FR46</t>
  </si>
  <si>
    <t>Správa zdieľaných nákladov</t>
  </si>
  <si>
    <t>Alokácia zdieľaných nákladov</t>
  </si>
  <si>
    <t>Systém má umožňovať alokáciu zdieľaných nákladov.</t>
  </si>
  <si>
    <t>FR47</t>
  </si>
  <si>
    <t>Meranie jednotkových nákladov</t>
  </si>
  <si>
    <t>Pridanie nákladov na vlastné licencie (BYOL)</t>
  </si>
  <si>
    <t>Systém má umožňovať pridanie nákladov na vlastné licencie (BYOL).</t>
  </si>
  <si>
    <t>FR48</t>
  </si>
  <si>
    <t>Pridanie dodatočných nákladov</t>
  </si>
  <si>
    <t xml:space="preserve">Systém má umožňovať pridanie dodatočných nákladov (napr. nákladov na pracovnú silu). </t>
  </si>
  <si>
    <t>FR49</t>
  </si>
  <si>
    <t>Multi-cloudová parita</t>
  </si>
  <si>
    <t>Parity pre AWS</t>
  </si>
  <si>
    <t xml:space="preserve">Systém má umožňovať parity pre AWS. </t>
  </si>
  <si>
    <t>FR50</t>
  </si>
  <si>
    <t>Parity pre Azure</t>
  </si>
  <si>
    <t>Systém má umožňovať paritu pre Azure.</t>
  </si>
  <si>
    <t>FR51</t>
  </si>
  <si>
    <t>Nastavenie Workload</t>
  </si>
  <si>
    <t xml:space="preserve">Systém má posielať upozornenia na nové zdroje bez označení/tag-ov. </t>
  </si>
  <si>
    <t>FR52</t>
  </si>
  <si>
    <t>Využívanie a efektivita zdrojov (Right Sizing)</t>
  </si>
  <si>
    <t>Nastavenie hodnotiacich kritérií</t>
  </si>
  <si>
    <t>Systém má umožňovať nastavenie hodnotiacich kritérií (Metrics).</t>
  </si>
  <si>
    <t>FR53</t>
  </si>
  <si>
    <t>Odporúčanie úprav/aktivít</t>
  </si>
  <si>
    <t>Systém má umožňovať odporučiť aktivity/úpravy.</t>
  </si>
  <si>
    <t>FR54</t>
  </si>
  <si>
    <t>Meranie výkonu virtuálnych strojov (VM)</t>
  </si>
  <si>
    <t xml:space="preserve">Systém má umožňovať meranie výkonu (používania) - virtuálne stroje (VM). </t>
  </si>
  <si>
    <t>FR55</t>
  </si>
  <si>
    <t>Meranie výkonu úložiska (Storage)</t>
  </si>
  <si>
    <t xml:space="preserve">Systém má umožňovať meranie výkonu (používania) - úložisko (Storage). </t>
  </si>
  <si>
    <t>FR56</t>
  </si>
  <si>
    <t>Meranie výkonu siete (Network)</t>
  </si>
  <si>
    <t>Systém má umožňovať meranie výkonu (používania) - sieť (Network).</t>
  </si>
  <si>
    <t>FR57</t>
  </si>
  <si>
    <t>Prehľad nepoužívaných zdrojov (Orphaned resources)</t>
  </si>
  <si>
    <t xml:space="preserve">Systém má poskytovať prehľad nepoužívaných zdrojov (Orphaned Resources). </t>
  </si>
  <si>
    <t>FR58</t>
  </si>
  <si>
    <t>Prehľad používania vývojových a testovacích prostredí</t>
  </si>
  <si>
    <t xml:space="preserve">Systém má poskytovať prehľad o využívaní vývojových a testovacích licenčných modelov. </t>
  </si>
  <si>
    <t>FR59</t>
  </si>
  <si>
    <t>Prehľad správnej konfigurácie (Right Sizing)</t>
  </si>
  <si>
    <t xml:space="preserve">Systém má poskytovať prehľad správnych nastavení (Right Sizing). </t>
  </si>
  <si>
    <t>FR60</t>
  </si>
  <si>
    <t>Prehľad On/Off automatizácie</t>
  </si>
  <si>
    <t>Systém má poskytovať prehľad nastavení On / Off automatizácie.</t>
  </si>
  <si>
    <t>FR61</t>
  </si>
  <si>
    <t>Prehľad rezervovaných inštancií</t>
  </si>
  <si>
    <t xml:space="preserve">Systém má poskytovať prehľad rezervovaných inštancií / kapacitné modely. </t>
  </si>
  <si>
    <t>FR62</t>
  </si>
  <si>
    <t>Prehľad inštancií na modernizáciu</t>
  </si>
  <si>
    <t>Systém má poskytovať prehľad o inštanciách na modernizáciu.</t>
  </si>
  <si>
    <t>FR63</t>
  </si>
  <si>
    <t>Odporúčania na úsporu nákladov (kaskádovou logikou)</t>
  </si>
  <si>
    <t xml:space="preserve">Systém má poskytovať odporúčania na úsporu nákladov s kaskádovou logikou pre každý zdroj. </t>
  </si>
  <si>
    <t>FR64</t>
  </si>
  <si>
    <t>Viacero odporúčaní podľa zdroja</t>
  </si>
  <si>
    <t>Systém má poskytovať viaceré odporúčania na úrovni zdrojov (nie jedno odporúčanie).</t>
  </si>
  <si>
    <t>FR65</t>
  </si>
  <si>
    <t>Odporúčania na viditeľné zdroje podľa predplatených služieb/účtov</t>
  </si>
  <si>
    <t>Systém má poskytovať odporúčania viditeľných zdrojov vo viacerých predplatených službách/účtoch.</t>
  </si>
  <si>
    <t>FR66</t>
  </si>
  <si>
    <t>Optimalizácia miery konverzie (Right Costing)</t>
  </si>
  <si>
    <t>Podpora Azure Hybrid Benefitu</t>
  </si>
  <si>
    <t xml:space="preserve">Systém má podporovať Azure Hybrid Benefit (AHB). </t>
  </si>
  <si>
    <t>FR67</t>
  </si>
  <si>
    <t>Podpora plánov šetrenia AWS</t>
  </si>
  <si>
    <t xml:space="preserve">Systém má podporovať plány šetrenia - AWS. </t>
  </si>
  <si>
    <t>FR68</t>
  </si>
  <si>
    <t>Medziregionálna optimalizácia</t>
  </si>
  <si>
    <t xml:space="preserve">Systém má umožňovať medziregionálnu optimalizácia. </t>
  </si>
  <si>
    <t>FR69</t>
  </si>
  <si>
    <t>Podpora rezervovaných inštancií - AWS</t>
  </si>
  <si>
    <t xml:space="preserve">Systém má podporovať rezervované inštancie - AWS. </t>
  </si>
  <si>
    <t>FR70</t>
  </si>
  <si>
    <t>Podpora rezervovaných inštancií - Azure</t>
  </si>
  <si>
    <t>Systém má podporovať rezervované inštancie - Azure.</t>
  </si>
  <si>
    <t>FR71</t>
  </si>
  <si>
    <t>Podpora Bring Your Own License (BYOL)</t>
  </si>
  <si>
    <t>Systém má podporovať Bring Your Own Licensing (BYOL).</t>
  </si>
  <si>
    <t>FR72</t>
  </si>
  <si>
    <t xml:space="preserve">Systém má generovať odporúčania na úsporu nákladov s kaskádovou logikou pre každý zdroj. </t>
  </si>
  <si>
    <t>FR73</t>
  </si>
  <si>
    <t>Správa poskytovateľov cloudových služieb (MSP)</t>
  </si>
  <si>
    <t xml:space="preserve">Správa poskytovateľov cloudových služieb - Azure CSP </t>
  </si>
  <si>
    <t xml:space="preserve">Systém má umožňovať spravovať poskytovateľov cloudových služieb pre Azure CSP. </t>
  </si>
  <si>
    <t>FR74</t>
  </si>
  <si>
    <t>Správa poskytovateľov cloudových služieb - AWS Indirect</t>
  </si>
  <si>
    <t xml:space="preserve">Systém má umožňovať spravovať poskytovateľov cloudových služieb pre AWS indirect. </t>
  </si>
  <si>
    <t>FR75</t>
  </si>
  <si>
    <t>Analýza rizík</t>
  </si>
  <si>
    <t>Automatické skenovanie zraniteľností</t>
  </si>
  <si>
    <t>Systém má umožniť automaticky skenovať softvér a operačné systémy a identifikuje známe zraniteľnosti.</t>
  </si>
  <si>
    <t>FR76</t>
  </si>
  <si>
    <t>Databáza zraniteľností</t>
  </si>
  <si>
    <t>Systém má poskytovať informácie o aktuálne publikovaných zraniteľnostiach na základe medzinárodnej databázy.</t>
  </si>
  <si>
    <t>FR77</t>
  </si>
  <si>
    <t>Identifikácia rizík</t>
  </si>
  <si>
    <t>Systém má umožniť analýzu zraniteľnosti softvéru s ohľadom na databázu zraniteľností s cieľom identifikovať potenciálne riziká.</t>
  </si>
  <si>
    <t>FR78</t>
  </si>
  <si>
    <t>Systém má umožniť vykonávať analýzu rizík na základe údajov o životnom prostredí a zraniteľnosti.</t>
  </si>
  <si>
    <t>FR79</t>
  </si>
  <si>
    <t>Návrh riešenia</t>
  </si>
  <si>
    <t>Systém má poskytnúť popis zraniteľnosti ako aj návrhy riešení na jej odstránenie.</t>
  </si>
  <si>
    <t>FR80</t>
  </si>
  <si>
    <t>Prediktívna analýza</t>
  </si>
  <si>
    <t>Systém má umožniť analýza vplyvu inštalácie aktualizácie alebo SW.</t>
  </si>
  <si>
    <t>FR81</t>
  </si>
  <si>
    <t>Hodnotenie rizík a určovanie priorít</t>
  </si>
  <si>
    <t>Po zistení zraniteľností má systém vyhodnotiť úroveň rizika každej zraniteľnosti na základe jej potenciálneho dopadu na systém. To umožňuje organizáciám uprednostňovať opravy a riadenie rizík podľa závažnosti zraniteľností.</t>
  </si>
  <si>
    <t>FR82</t>
  </si>
  <si>
    <t>Reporting</t>
  </si>
  <si>
    <t>Informačné panely v reálnom čase</t>
  </si>
  <si>
    <t>Systém má poskytovať reporty s aktualizovanými údajmi o stave IT prostredia.</t>
  </si>
  <si>
    <t>FR83</t>
  </si>
  <si>
    <t>Prehľad manažérskych rizík</t>
  </si>
  <si>
    <t>Systém má poskytovať manažérsky prehľad rizík poukazujúci na hlavné zraniteľnosti SW na "zákaznícke" dáta.</t>
  </si>
  <si>
    <t>FR84</t>
  </si>
  <si>
    <t>Prispôsobenie prehľadov</t>
  </si>
  <si>
    <t xml:space="preserve">Systém má umožniť používateľom vytvárať vlastné prehľady podľa svojich individuálnych potrieb.
</t>
  </si>
  <si>
    <t>FR85</t>
  </si>
  <si>
    <t>Prehľady používateľov SW</t>
  </si>
  <si>
    <t>Systém má umožniť registráciu rizík používania SW s ohľadom na bežiace a používané aplikácie.</t>
  </si>
  <si>
    <t>FR86</t>
  </si>
  <si>
    <t>Integrácia</t>
  </si>
  <si>
    <t xml:space="preserve">Integrácia s inými systémami
</t>
  </si>
  <si>
    <t>Systém má umožniť prepájanie s inými IT systémami.</t>
  </si>
  <si>
    <t>FR87</t>
  </si>
  <si>
    <t>Notifikácie</t>
  </si>
  <si>
    <t>Upozornenia a upozornenia</t>
  </si>
  <si>
    <t>Systém má umožniť monitorovanie zraniteľnosti a generovanie upozornení v prípade zistenia nových alebo kritických zraniteľností. Tieto upozornenia má byť možné nastaviť tak, aby informovali správcov alebo bezpečnostné tímy prostredníctvom e-mailu, SMS alebo integrovaných systémov riadenia incidentov, čo umožňuje rýchlu reakciu na potenciálne hrozby.</t>
  </si>
  <si>
    <t>FR88</t>
  </si>
  <si>
    <t>Riadenie prístupov</t>
  </si>
  <si>
    <t xml:space="preserve">Role-based prístup </t>
  </si>
  <si>
    <t>Systém má umožniť nastaviť rôzne úrovne prístupu pre rôznych používateľov.</t>
  </si>
  <si>
    <t>Predpokladá sa využitie štandardného softvéru SaaS</t>
  </si>
  <si>
    <t>Ministerstvo investícií, regionálneho rozvoja a informatizácie SR</t>
  </si>
  <si>
    <t>Pribinova 25</t>
  </si>
  <si>
    <t>811 09 Bratislava</t>
  </si>
  <si>
    <t>Igor Hladík</t>
  </si>
  <si>
    <t xml:space="preserve">email: igor.hladik@mirri.gov.sk
tel.: +421 2 20 92 8230 </t>
  </si>
  <si>
    <t>https://mirri.gov.sk/</t>
  </si>
  <si>
    <t>BizzDesign / APM</t>
  </si>
  <si>
    <t>Priemerná mesačná hrubá mzda vo verejnej správe za 1. Q./2024 (obdobie aktualizovať k času predloženia dokumentu), podľa ŠÚ SR</t>
  </si>
  <si>
    <t>Rozširovanie riadenia IT aktív – ITAM 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</si>
</sst>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0\ &quot;€&quot;;[Red]\-#,##0\ &quot;€&quot;"/>
    <numFmt numFmtId="8" formatCode="#,##0.00\ &quot;€&quot;;[Red]\-#,##0.00\ &quot;€&quot;"/>
    <numFmt numFmtId="42" formatCode="_-* #,##0\ &quot;€&quot;_-;\-* #,##0\ &quot;€&quot;_-;_-* &quot;-&quot;\ &quot;€&quot;_-;_-@_-"/>
    <numFmt numFmtId="44" formatCode="_-* #,##0.00\ &quot;€&quot;_-;\-* #,##0.00\ &quot;€&quot;_-;_-* &quot;-&quot;??\ &quot;€&quot;_-;_-@_-"/>
    <numFmt numFmtId="164" formatCode="_-* #,##0.00\ _€_-;\-* #,##0.00\ _€_-;_-* &quot;-&quot;??\ _€_-;_-@_-"/>
    <numFmt numFmtId="165" formatCode="_-* #,##0\ _€_-;\-* #,##0\ _€_-;_-* &quot;-&quot;??\ _€_-;_-@_-"/>
    <numFmt numFmtId="166" formatCode="0.0%"/>
    <numFmt numFmtId="167" formatCode="#,##0_ ;\-#,##0;\-;@"/>
    <numFmt numFmtId="168" formatCode="0.00;\-0.00;\-;@"/>
    <numFmt numFmtId="169" formatCode="#,##0\ &quot;€&quot;"/>
    <numFmt numFmtId="170" formatCode="#,##0.00\ &quot;€&quot;"/>
    <numFmt numFmtId="171" formatCode="#,##0.0\ &quot;€&quot;"/>
  </numFmts>
  <fonts count="92">
    <font>
      <sz val="11"/>
      <color theme="1"/>
      <name val="Calibri"/>
      <family val="2"/>
      <charset val="238"/>
      <scheme val="minor"/>
    </font>
    <font>
      <sz val="11"/>
      <color theme="1"/>
      <name val="Arial Narrow"/>
      <family val="2"/>
      <charset val="238"/>
    </font>
    <font>
      <sz val="11"/>
      <color theme="1"/>
      <name val="Calibri"/>
      <family val="2"/>
      <charset val="238"/>
      <scheme val="minor"/>
    </font>
    <font>
      <b/>
      <sz val="11"/>
      <name val="Arial Narrow"/>
      <family val="2"/>
      <charset val="238"/>
    </font>
    <font>
      <sz val="11"/>
      <name val="Calibri"/>
      <family val="2"/>
      <charset val="238"/>
      <scheme val="minor"/>
    </font>
    <font>
      <sz val="11"/>
      <name val="Arial Narrow"/>
      <family val="2"/>
      <charset val="238"/>
    </font>
    <font>
      <sz val="11"/>
      <color rgb="FF006100"/>
      <name val="Calibri"/>
      <family val="2"/>
      <charset val="238"/>
      <scheme val="minor"/>
    </font>
    <font>
      <b/>
      <sz val="11"/>
      <color rgb="FFFA7D00"/>
      <name val="Calibri"/>
      <family val="2"/>
      <charset val="238"/>
      <scheme val="minor"/>
    </font>
    <font>
      <b/>
      <sz val="11"/>
      <color theme="1"/>
      <name val="Calibri"/>
      <family val="2"/>
      <charset val="238"/>
      <scheme val="minor"/>
    </font>
    <font>
      <b/>
      <sz val="10"/>
      <name val="Arial"/>
      <family val="2"/>
      <charset val="238"/>
    </font>
    <font>
      <sz val="10"/>
      <name val="Arial"/>
      <family val="2"/>
      <charset val="238"/>
    </font>
    <font>
      <i/>
      <sz val="10"/>
      <name val="Arial"/>
      <family val="2"/>
      <charset val="238"/>
    </font>
    <font>
      <b/>
      <i/>
      <sz val="10"/>
      <name val="Arial"/>
      <family val="2"/>
      <charset val="238"/>
    </font>
    <font>
      <sz val="10"/>
      <color indexed="18"/>
      <name val="Arial"/>
      <family val="2"/>
      <charset val="238"/>
    </font>
    <font>
      <sz val="11"/>
      <color theme="1"/>
      <name val="Calibri"/>
      <family val="2"/>
      <charset val="238"/>
    </font>
    <font>
      <b/>
      <sz val="11"/>
      <color rgb="FF000000"/>
      <name val="Arial Narrow"/>
      <family val="2"/>
      <charset val="238"/>
    </font>
    <font>
      <b/>
      <sz val="11"/>
      <color rgb="FFFF0000"/>
      <name val="Arial Narrow"/>
      <family val="2"/>
      <charset val="238"/>
    </font>
    <font>
      <i/>
      <sz val="11"/>
      <color rgb="FF000000"/>
      <name val="Arial Narrow"/>
      <family val="2"/>
      <charset val="238"/>
    </font>
    <font>
      <b/>
      <sz val="9"/>
      <color rgb="FF000000"/>
      <name val="Arial Narrow"/>
      <family val="2"/>
      <charset val="238"/>
    </font>
    <font>
      <i/>
      <sz val="9"/>
      <color rgb="FF000000"/>
      <name val="Arial Narrow"/>
      <family val="2"/>
      <charset val="238"/>
    </font>
    <font>
      <i/>
      <sz val="8"/>
      <color rgb="FF000000"/>
      <name val="Arial Narrow"/>
      <family val="2"/>
      <charset val="238"/>
    </font>
    <font>
      <b/>
      <sz val="8"/>
      <color rgb="FFFA7D00"/>
      <name val="Calibri"/>
      <family val="2"/>
      <charset val="238"/>
      <scheme val="minor"/>
    </font>
    <font>
      <sz val="9"/>
      <color rgb="FF006100"/>
      <name val="Calibri"/>
      <family val="2"/>
      <charset val="238"/>
      <scheme val="minor"/>
    </font>
    <font>
      <b/>
      <i/>
      <sz val="11"/>
      <color theme="1"/>
      <name val="Calibri"/>
      <family val="2"/>
      <charset val="238"/>
      <scheme val="minor"/>
    </font>
    <font>
      <b/>
      <sz val="16"/>
      <color theme="1"/>
      <name val="Calibri"/>
      <family val="2"/>
      <charset val="238"/>
      <scheme val="minor"/>
    </font>
    <font>
      <b/>
      <sz val="14"/>
      <color theme="1"/>
      <name val="Arial"/>
      <family val="2"/>
      <charset val="238"/>
    </font>
    <font>
      <b/>
      <sz val="12"/>
      <color theme="1"/>
      <name val="Arial"/>
      <family val="2"/>
      <charset val="238"/>
    </font>
    <font>
      <sz val="11"/>
      <color theme="1"/>
      <name val="Arial"/>
      <family val="2"/>
      <charset val="238"/>
    </font>
    <font>
      <b/>
      <sz val="11"/>
      <color theme="1"/>
      <name val="Arial"/>
      <family val="2"/>
      <charset val="238"/>
    </font>
    <font>
      <i/>
      <sz val="11"/>
      <color theme="1"/>
      <name val="Calibri"/>
      <family val="2"/>
      <charset val="238"/>
      <scheme val="minor"/>
    </font>
    <font>
      <b/>
      <sz val="12"/>
      <color theme="1"/>
      <name val="Calibri"/>
      <family val="2"/>
      <charset val="238"/>
      <scheme val="minor"/>
    </font>
    <font>
      <sz val="9"/>
      <color theme="1"/>
      <name val="Calibri"/>
      <family val="2"/>
      <charset val="238"/>
      <scheme val="minor"/>
    </font>
    <font>
      <sz val="9"/>
      <name val="Arial"/>
      <family val="2"/>
      <charset val="238"/>
    </font>
    <font>
      <sz val="9"/>
      <color rgb="FFFA7D00"/>
      <name val="Calibri"/>
      <family val="2"/>
      <charset val="238"/>
      <scheme val="minor"/>
    </font>
    <font>
      <sz val="8"/>
      <color rgb="FFFA7D00"/>
      <name val="Calibri"/>
      <family val="2"/>
      <charset val="238"/>
      <scheme val="minor"/>
    </font>
    <font>
      <b/>
      <i/>
      <sz val="10"/>
      <color theme="1"/>
      <name val="Calibri"/>
      <family val="2"/>
      <charset val="238"/>
      <scheme val="minor"/>
    </font>
    <font>
      <b/>
      <sz val="11"/>
      <color theme="0" tint="-0.499984740745262"/>
      <name val="Calibri"/>
      <family val="2"/>
      <charset val="238"/>
      <scheme val="minor"/>
    </font>
    <font>
      <sz val="9"/>
      <color theme="0" tint="-0.499984740745262"/>
      <name val="Calibri"/>
      <family val="2"/>
      <charset val="238"/>
      <scheme val="minor"/>
    </font>
    <font>
      <sz val="11"/>
      <color theme="0" tint="-0.499984740745262"/>
      <name val="Calibri"/>
      <family val="2"/>
      <charset val="238"/>
      <scheme val="minor"/>
    </font>
    <font>
      <sz val="11"/>
      <color rgb="FF006100"/>
      <name val="Arial Narrow"/>
      <family val="2"/>
      <charset val="238"/>
    </font>
    <font>
      <sz val="11"/>
      <color theme="0"/>
      <name val="Calibri"/>
      <family val="2"/>
      <charset val="238"/>
      <scheme val="minor"/>
    </font>
    <font>
      <sz val="11"/>
      <color rgb="FFFF0000"/>
      <name val="Calibri"/>
      <family val="2"/>
      <charset val="238"/>
      <scheme val="minor"/>
    </font>
    <font>
      <sz val="10"/>
      <color theme="5" tint="-0.249977111117893"/>
      <name val="Arial"/>
      <family val="2"/>
      <charset val="238"/>
    </font>
    <font>
      <sz val="11"/>
      <color theme="5" tint="-0.249977111117893"/>
      <name val="Calibri"/>
      <family val="2"/>
      <charset val="238"/>
      <scheme val="minor"/>
    </font>
    <font>
      <b/>
      <sz val="14"/>
      <color theme="1"/>
      <name val="Calibri"/>
      <family val="2"/>
      <charset val="238"/>
      <scheme val="minor"/>
    </font>
    <font>
      <u/>
      <sz val="11"/>
      <color theme="10"/>
      <name val="Calibri"/>
      <family val="2"/>
      <charset val="238"/>
      <scheme val="minor"/>
    </font>
    <font>
      <b/>
      <sz val="11"/>
      <name val="Calibri"/>
      <family val="2"/>
      <charset val="238"/>
      <scheme val="minor"/>
    </font>
    <font>
      <i/>
      <sz val="11"/>
      <color theme="5" tint="-0.249977111117893"/>
      <name val="Calibri"/>
      <family val="2"/>
      <charset val="238"/>
      <scheme val="minor"/>
    </font>
    <font>
      <b/>
      <sz val="11"/>
      <color theme="5" tint="-0.249977111117893"/>
      <name val="Calibri"/>
      <family val="2"/>
      <charset val="238"/>
      <scheme val="minor"/>
    </font>
    <font>
      <sz val="11"/>
      <color theme="5" tint="-0.499984740745262"/>
      <name val="Calibri"/>
      <family val="2"/>
      <charset val="238"/>
      <scheme val="minor"/>
    </font>
    <font>
      <b/>
      <sz val="11"/>
      <color theme="5" tint="-0.499984740745262"/>
      <name val="Calibri"/>
      <family val="2"/>
      <charset val="238"/>
      <scheme val="minor"/>
    </font>
    <font>
      <sz val="16"/>
      <color rgb="FFFF0000"/>
      <name val="Calibri"/>
      <family val="2"/>
      <charset val="238"/>
      <scheme val="minor"/>
    </font>
    <font>
      <sz val="20"/>
      <color rgb="FFFF0000"/>
      <name val="Calibri"/>
      <family val="2"/>
      <charset val="238"/>
      <scheme val="minor"/>
    </font>
    <font>
      <sz val="22"/>
      <color rgb="FFFF0000"/>
      <name val="Calibri"/>
      <family val="2"/>
      <charset val="238"/>
      <scheme val="minor"/>
    </font>
    <font>
      <sz val="11"/>
      <color theme="1"/>
      <name val="Calibri Light"/>
      <family val="2"/>
      <scheme val="major"/>
    </font>
    <font>
      <sz val="11"/>
      <color theme="0"/>
      <name val="Calibri Light"/>
      <family val="2"/>
      <scheme val="major"/>
    </font>
    <font>
      <sz val="11"/>
      <color theme="5" tint="-0.249977111117893"/>
      <name val="Calibri Light"/>
      <family val="2"/>
      <scheme val="major"/>
    </font>
    <font>
      <b/>
      <sz val="11"/>
      <color theme="0"/>
      <name val="Calibri Light"/>
      <family val="2"/>
      <scheme val="major"/>
    </font>
    <font>
      <sz val="8"/>
      <name val="Calibri"/>
      <family val="2"/>
      <charset val="238"/>
      <scheme val="minor"/>
    </font>
    <font>
      <b/>
      <sz val="11"/>
      <color theme="1"/>
      <name val="Calibri Light"/>
      <family val="2"/>
      <scheme val="major"/>
    </font>
    <font>
      <sz val="11"/>
      <name val="Calibri Light"/>
      <family val="2"/>
      <scheme val="major"/>
    </font>
    <font>
      <sz val="10"/>
      <color theme="1"/>
      <name val="Calibri"/>
      <family val="2"/>
      <charset val="238"/>
      <scheme val="minor"/>
    </font>
    <font>
      <sz val="10"/>
      <color theme="1"/>
      <name val="Calibri Light"/>
      <family val="2"/>
      <scheme val="major"/>
    </font>
    <font>
      <sz val="10"/>
      <name val="Calibri Light"/>
      <family val="2"/>
      <scheme val="major"/>
    </font>
    <font>
      <b/>
      <sz val="10"/>
      <name val="Calibri Light"/>
      <family val="2"/>
      <scheme val="major"/>
    </font>
    <font>
      <u/>
      <sz val="10"/>
      <color indexed="12"/>
      <name val="Arial"/>
      <family val="2"/>
    </font>
    <font>
      <sz val="10"/>
      <color rgb="FF0070C0"/>
      <name val="Calibri Light"/>
      <family val="2"/>
      <scheme val="major"/>
    </font>
    <font>
      <b/>
      <sz val="10"/>
      <color rgb="FF0070C0"/>
      <name val="Calibri Light"/>
      <family val="2"/>
      <scheme val="major"/>
    </font>
    <font>
      <b/>
      <sz val="10"/>
      <color theme="1"/>
      <name val="Calibri Light"/>
      <family val="2"/>
      <scheme val="major"/>
    </font>
    <font>
      <b/>
      <sz val="10"/>
      <name val="Tahoma"/>
      <family val="2"/>
    </font>
    <font>
      <b/>
      <sz val="10"/>
      <color theme="1"/>
      <name val="Calibri"/>
      <family val="2"/>
      <scheme val="minor"/>
    </font>
    <font>
      <sz val="10"/>
      <color rgb="FF000000"/>
      <name val="Calibri Light"/>
      <family val="2"/>
      <scheme val="major"/>
    </font>
    <font>
      <b/>
      <sz val="10"/>
      <color rgb="FF000000"/>
      <name val="Calibri Light"/>
      <family val="2"/>
      <scheme val="major"/>
    </font>
    <font>
      <b/>
      <sz val="18"/>
      <color rgb="FFFF0000"/>
      <name val="Calibri"/>
      <family val="2"/>
      <scheme val="minor"/>
    </font>
    <font>
      <b/>
      <sz val="11"/>
      <color theme="0"/>
      <name val="Calibri Light"/>
      <family val="1"/>
      <charset val="2"/>
      <scheme val="major"/>
    </font>
    <font>
      <b/>
      <sz val="10"/>
      <color theme="0"/>
      <name val="Calibri"/>
      <family val="2"/>
      <scheme val="minor"/>
    </font>
    <font>
      <sz val="10"/>
      <color theme="1"/>
      <name val="Calibri"/>
      <family val="2"/>
      <scheme val="minor"/>
    </font>
    <font>
      <sz val="11"/>
      <color theme="1"/>
      <name val="Calibri"/>
      <family val="2"/>
      <scheme val="minor"/>
    </font>
    <font>
      <b/>
      <u/>
      <sz val="11"/>
      <color theme="5"/>
      <name val="Calibri"/>
      <family val="2"/>
      <scheme val="minor"/>
    </font>
    <font>
      <sz val="9"/>
      <color indexed="81"/>
      <name val="Segoe UI"/>
      <family val="2"/>
    </font>
    <font>
      <b/>
      <sz val="9"/>
      <color indexed="81"/>
      <name val="Segoe UI"/>
      <family val="2"/>
    </font>
    <font>
      <b/>
      <u/>
      <sz val="11"/>
      <color theme="5"/>
      <name val="Calibri"/>
      <family val="2"/>
      <charset val="238"/>
      <scheme val="minor"/>
    </font>
    <font>
      <b/>
      <sz val="18"/>
      <color theme="1"/>
      <name val="Calibri"/>
      <family val="2"/>
      <charset val="238"/>
    </font>
    <font>
      <sz val="18"/>
      <color theme="1"/>
      <name val="Calibri"/>
      <family val="2"/>
      <charset val="238"/>
      <scheme val="minor"/>
    </font>
    <font>
      <b/>
      <sz val="10"/>
      <name val="Calibri"/>
      <family val="2"/>
      <scheme val="minor"/>
    </font>
    <font>
      <sz val="11"/>
      <color rgb="FF000000"/>
      <name val="Calibri Light"/>
      <family val="2"/>
      <scheme val="major"/>
    </font>
    <font>
      <b/>
      <sz val="11"/>
      <color theme="1"/>
      <name val="Calibri"/>
      <family val="2"/>
      <scheme val="minor"/>
    </font>
    <font>
      <b/>
      <sz val="9"/>
      <color rgb="FF000000"/>
      <name val="Segoe UI"/>
      <family val="2"/>
      <charset val="1"/>
    </font>
    <font>
      <sz val="9"/>
      <color rgb="FF000000"/>
      <name val="Segoe UI"/>
      <family val="2"/>
      <charset val="1"/>
    </font>
    <font>
      <b/>
      <sz val="11"/>
      <color rgb="FF000000"/>
      <name val="Calibri"/>
      <family val="2"/>
      <scheme val="minor"/>
    </font>
    <font>
      <sz val="9"/>
      <color indexed="81"/>
      <name val="Tahoma"/>
      <charset val="1"/>
    </font>
    <font>
      <b/>
      <sz val="9"/>
      <color indexed="81"/>
      <name val="Tahoma"/>
      <charset val="1"/>
    </font>
  </fonts>
  <fills count="38">
    <fill>
      <patternFill patternType="none"/>
    </fill>
    <fill>
      <patternFill patternType="gray125"/>
    </fill>
    <fill>
      <patternFill patternType="solid">
        <fgColor rgb="FFA6A6A6"/>
        <bgColor indexed="64"/>
      </patternFill>
    </fill>
    <fill>
      <patternFill patternType="solid">
        <fgColor rgb="FFC6EFCE"/>
      </patternFill>
    </fill>
    <fill>
      <patternFill patternType="solid">
        <fgColor rgb="FFF2F2F2"/>
      </patternFill>
    </fill>
    <fill>
      <patternFill patternType="solid">
        <fgColor rgb="FFFFFFCC"/>
      </patternFill>
    </fill>
    <fill>
      <patternFill patternType="solid">
        <fgColor theme="0" tint="-0.249977111117893"/>
        <bgColor indexed="64"/>
      </patternFill>
    </fill>
    <fill>
      <patternFill patternType="solid">
        <fgColor theme="0" tint="-0.34998626667073579"/>
        <bgColor indexed="64"/>
      </patternFill>
    </fill>
    <fill>
      <patternFill patternType="solid">
        <fgColor rgb="FFD9D9D9"/>
        <bgColor rgb="FF000000"/>
      </patternFill>
    </fill>
    <fill>
      <patternFill patternType="solid">
        <fgColor theme="4" tint="0.79998168889431442"/>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theme="3" tint="-0.249977111117893"/>
        <bgColor indexed="64"/>
      </patternFill>
    </fill>
    <fill>
      <patternFill patternType="solid">
        <fgColor theme="9" tint="0.59999389629810485"/>
        <bgColor indexed="64"/>
      </patternFill>
    </fill>
    <fill>
      <patternFill patternType="solid">
        <fgColor theme="2" tint="-0.499984740745262"/>
        <bgColor indexed="64"/>
      </patternFill>
    </fill>
    <fill>
      <patternFill patternType="solid">
        <fgColor rgb="FFFFFFCC"/>
        <bgColor indexed="64"/>
      </patternFill>
    </fill>
    <fill>
      <patternFill patternType="solid">
        <fgColor theme="6"/>
        <bgColor indexed="64"/>
      </patternFill>
    </fill>
    <fill>
      <patternFill patternType="solid">
        <fgColor theme="4" tint="0.39997558519241921"/>
        <bgColor indexed="64"/>
      </patternFill>
    </fill>
    <fill>
      <patternFill patternType="solid">
        <fgColor theme="6" tint="0.79998168889431442"/>
        <bgColor indexed="64"/>
      </patternFill>
    </fill>
    <fill>
      <patternFill patternType="solid">
        <fgColor theme="0"/>
        <bgColor indexed="64"/>
      </patternFill>
    </fill>
    <fill>
      <patternFill patternType="solid">
        <fgColor theme="2" tint="-9.9978637043366805E-2"/>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2"/>
        <bgColor indexed="64"/>
      </patternFill>
    </fill>
    <fill>
      <patternFill patternType="solid">
        <fgColor theme="8" tint="-0.249977111117893"/>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39997558519241921"/>
        <bgColor indexed="64"/>
      </patternFill>
    </fill>
    <fill>
      <patternFill patternType="solid">
        <fgColor rgb="FFFFC000"/>
        <bgColor indexed="64"/>
      </patternFill>
    </fill>
    <fill>
      <patternFill patternType="solid">
        <fgColor theme="6" tint="0.59999389629810485"/>
        <bgColor indexed="64"/>
      </patternFill>
    </fill>
    <fill>
      <patternFill patternType="solid">
        <fgColor theme="8" tint="-0.499984740745262"/>
        <bgColor indexed="64"/>
      </patternFill>
    </fill>
    <fill>
      <patternFill patternType="solid">
        <fgColor theme="4"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rgb="FF00B050"/>
        <bgColor indexed="64"/>
      </patternFill>
    </fill>
    <fill>
      <patternFill patternType="solid">
        <fgColor theme="5" tint="0.39997558519241921"/>
        <bgColor indexed="64"/>
      </patternFill>
    </fill>
  </fills>
  <borders count="167">
    <border>
      <left/>
      <right/>
      <top/>
      <bottom/>
      <diagonal/>
    </border>
    <border>
      <left style="thick">
        <color indexed="64"/>
      </left>
      <right style="medium">
        <color indexed="64"/>
      </right>
      <top style="thick">
        <color indexed="64"/>
      </top>
      <bottom style="thick">
        <color indexed="64"/>
      </bottom>
      <diagonal/>
    </border>
    <border>
      <left/>
      <right style="medium">
        <color indexed="64"/>
      </right>
      <top style="thick">
        <color indexed="64"/>
      </top>
      <bottom style="thick">
        <color indexed="64"/>
      </bottom>
      <diagonal/>
    </border>
    <border>
      <left/>
      <right style="thick">
        <color indexed="64"/>
      </right>
      <top style="thick">
        <color indexed="64"/>
      </top>
      <bottom style="thick">
        <color indexed="64"/>
      </bottom>
      <diagonal/>
    </border>
    <border>
      <left style="medium">
        <color indexed="64"/>
      </left>
      <right style="thick">
        <color indexed="64"/>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style="thick">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thick">
        <color indexed="64"/>
      </top>
      <bottom style="thick">
        <color indexed="64"/>
      </bottom>
      <diagonal/>
    </border>
    <border>
      <left style="thick">
        <color indexed="64"/>
      </left>
      <right style="medium">
        <color indexed="64"/>
      </right>
      <top style="medium">
        <color indexed="64"/>
      </top>
      <bottom/>
      <diagonal/>
    </border>
    <border>
      <left style="thick">
        <color indexed="64"/>
      </left>
      <right style="medium">
        <color indexed="64"/>
      </right>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style="medium">
        <color indexed="64"/>
      </left>
      <right/>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top style="thin">
        <color indexed="64"/>
      </top>
      <bottom style="thin">
        <color indexed="64"/>
      </bottom>
      <diagonal/>
    </border>
    <border>
      <left/>
      <right style="thin">
        <color indexed="64"/>
      </right>
      <top style="medium">
        <color indexed="64"/>
      </top>
      <bottom/>
      <diagonal/>
    </border>
    <border>
      <left/>
      <right style="thin">
        <color rgb="FF7F7F7F"/>
      </right>
      <top style="thin">
        <color rgb="FF7F7F7F"/>
      </top>
      <bottom style="thin">
        <color rgb="FF7F7F7F"/>
      </bottom>
      <diagonal/>
    </border>
    <border>
      <left style="thin">
        <color rgb="FF7F7F7F"/>
      </left>
      <right style="medium">
        <color indexed="64"/>
      </right>
      <top style="thin">
        <color rgb="FF7F7F7F"/>
      </top>
      <bottom style="thin">
        <color rgb="FF7F7F7F"/>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right style="thin">
        <color rgb="FFB2B2B2"/>
      </right>
      <top style="thin">
        <color rgb="FFB2B2B2"/>
      </top>
      <bottom style="thin">
        <color rgb="FFB2B2B2"/>
      </bottom>
      <diagonal/>
    </border>
    <border>
      <left style="thin">
        <color rgb="FF7F7F7F"/>
      </left>
      <right style="medium">
        <color indexed="64"/>
      </right>
      <top style="medium">
        <color indexed="64"/>
      </top>
      <bottom style="thin">
        <color rgb="FF7F7F7F"/>
      </bottom>
      <diagonal/>
    </border>
    <border>
      <left style="medium">
        <color indexed="64"/>
      </left>
      <right style="thin">
        <color rgb="FF7F7F7F"/>
      </right>
      <top style="thin">
        <color rgb="FF7F7F7F"/>
      </top>
      <bottom style="medium">
        <color indexed="64"/>
      </bottom>
      <diagonal/>
    </border>
    <border>
      <left style="thin">
        <color rgb="FF7F7F7F"/>
      </left>
      <right style="thin">
        <color rgb="FF7F7F7F"/>
      </right>
      <top style="thin">
        <color rgb="FF7F7F7F"/>
      </top>
      <bottom style="medium">
        <color indexed="64"/>
      </bottom>
      <diagonal/>
    </border>
    <border>
      <left style="thin">
        <color rgb="FF7F7F7F"/>
      </left>
      <right style="medium">
        <color indexed="64"/>
      </right>
      <top style="thin">
        <color rgb="FF7F7F7F"/>
      </top>
      <bottom style="medium">
        <color indexed="64"/>
      </bottom>
      <diagonal/>
    </border>
    <border>
      <left/>
      <right style="thin">
        <color rgb="FF7F7F7F"/>
      </right>
      <top style="thin">
        <color rgb="FF7F7F7F"/>
      </top>
      <bottom style="medium">
        <color indexed="64"/>
      </bottom>
      <diagonal/>
    </border>
    <border>
      <left style="medium">
        <color indexed="64"/>
      </left>
      <right style="thin">
        <color rgb="FF7F7F7F"/>
      </right>
      <top/>
      <bottom style="medium">
        <color indexed="64"/>
      </bottom>
      <diagonal/>
    </border>
    <border>
      <left style="thin">
        <color rgb="FF7F7F7F"/>
      </left>
      <right style="medium">
        <color indexed="64"/>
      </right>
      <top/>
      <bottom style="medium">
        <color indexed="64"/>
      </bottom>
      <diagonal/>
    </border>
    <border>
      <left style="thin">
        <color rgb="FF7F7F7F"/>
      </left>
      <right style="medium">
        <color indexed="64"/>
      </right>
      <top/>
      <bottom style="thin">
        <color rgb="FF7F7F7F"/>
      </bottom>
      <diagonal/>
    </border>
    <border>
      <left/>
      <right style="thin">
        <color rgb="FF7F7F7F"/>
      </right>
      <top style="medium">
        <color indexed="64"/>
      </top>
      <bottom style="thin">
        <color rgb="FF7F7F7F"/>
      </bottom>
      <diagonal/>
    </border>
    <border>
      <left style="thin">
        <color rgb="FF7F7F7F"/>
      </left>
      <right style="thin">
        <color rgb="FF7F7F7F"/>
      </right>
      <top style="medium">
        <color indexed="64"/>
      </top>
      <bottom style="thin">
        <color rgb="FF7F7F7F"/>
      </bottom>
      <diagonal/>
    </border>
    <border>
      <left style="thin">
        <color rgb="FFB2B2B2"/>
      </left>
      <right style="thin">
        <color rgb="FFB2B2B2"/>
      </right>
      <top style="medium">
        <color indexed="64"/>
      </top>
      <bottom style="thin">
        <color rgb="FFB2B2B2"/>
      </bottom>
      <diagonal/>
    </border>
    <border>
      <left style="thin">
        <color rgb="FFB2B2B2"/>
      </left>
      <right style="thin">
        <color rgb="FFB2B2B2"/>
      </right>
      <top style="thin">
        <color rgb="FFB2B2B2"/>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rgb="FFB2B2B2"/>
      </left>
      <right style="medium">
        <color indexed="64"/>
      </right>
      <top style="medium">
        <color indexed="64"/>
      </top>
      <bottom/>
      <diagonal/>
    </border>
    <border>
      <left style="thin">
        <color rgb="FFB2B2B2"/>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rgb="FF7F7F7F"/>
      </left>
      <right style="thin">
        <color rgb="FF7F7F7F"/>
      </right>
      <top style="thin">
        <color rgb="FF7F7F7F"/>
      </top>
      <bottom/>
      <diagonal/>
    </border>
    <border>
      <left style="medium">
        <color indexed="64"/>
      </left>
      <right style="thin">
        <color rgb="FF7F7F7F"/>
      </right>
      <top style="medium">
        <color indexed="64"/>
      </top>
      <bottom style="medium">
        <color indexed="64"/>
      </bottom>
      <diagonal/>
    </border>
    <border>
      <left style="thin">
        <color rgb="FF7F7F7F"/>
      </left>
      <right style="thin">
        <color rgb="FF7F7F7F"/>
      </right>
      <top style="medium">
        <color indexed="64"/>
      </top>
      <bottom style="medium">
        <color indexed="64"/>
      </bottom>
      <diagonal/>
    </border>
    <border>
      <left style="thin">
        <color rgb="FF7F7F7F"/>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right style="thin">
        <color rgb="FF7F7F7F"/>
      </right>
      <top style="thin">
        <color rgb="FF7F7F7F"/>
      </top>
      <bottom/>
      <diagonal/>
    </border>
    <border>
      <left/>
      <right style="medium">
        <color indexed="64"/>
      </right>
      <top style="medium">
        <color indexed="64"/>
      </top>
      <bottom style="thin">
        <color rgb="FF7F7F7F"/>
      </bottom>
      <diagonal/>
    </border>
    <border>
      <left/>
      <right style="medium">
        <color indexed="64"/>
      </right>
      <top style="thin">
        <color rgb="FF7F7F7F"/>
      </top>
      <bottom style="thin">
        <color rgb="FF7F7F7F"/>
      </bottom>
      <diagonal/>
    </border>
    <border>
      <left/>
      <right style="medium">
        <color indexed="64"/>
      </right>
      <top style="thin">
        <color rgb="FF7F7F7F"/>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rgb="FF7F7F7F"/>
      </bottom>
      <diagonal/>
    </border>
    <border>
      <left style="medium">
        <color indexed="64"/>
      </left>
      <right style="medium">
        <color indexed="64"/>
      </right>
      <top style="thin">
        <color rgb="FF7F7F7F"/>
      </top>
      <bottom style="thin">
        <color rgb="FF7F7F7F"/>
      </bottom>
      <diagonal/>
    </border>
    <border>
      <left style="medium">
        <color indexed="64"/>
      </left>
      <right style="medium">
        <color indexed="64"/>
      </right>
      <top style="thin">
        <color rgb="FF7F7F7F"/>
      </top>
      <bottom/>
      <diagonal/>
    </border>
    <border>
      <left/>
      <right style="thin">
        <color rgb="FFB2B2B2"/>
      </right>
      <top style="medium">
        <color indexed="64"/>
      </top>
      <bottom style="thin">
        <color rgb="FFB2B2B2"/>
      </bottom>
      <diagonal/>
    </border>
    <border>
      <left/>
      <right style="thin">
        <color rgb="FFB2B2B2"/>
      </right>
      <top style="thin">
        <color rgb="FFB2B2B2"/>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right style="thin">
        <color rgb="FF7F7F7F"/>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rgb="FF7F7F7F"/>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rgb="FFB2B2B2"/>
      </bottom>
      <diagonal/>
    </border>
    <border>
      <left style="medium">
        <color indexed="64"/>
      </left>
      <right style="medium">
        <color indexed="64"/>
      </right>
      <top style="thin">
        <color rgb="FFB2B2B2"/>
      </top>
      <bottom style="medium">
        <color indexed="64"/>
      </bottom>
      <diagonal/>
    </border>
    <border>
      <left style="medium">
        <color indexed="64"/>
      </left>
      <right style="thin">
        <color rgb="FF7F7F7F"/>
      </right>
      <top style="thin">
        <color rgb="FF7F7F7F"/>
      </top>
      <bottom style="thin">
        <color rgb="FF7F7F7F"/>
      </bottom>
      <diagonal/>
    </border>
    <border>
      <left/>
      <right style="medium">
        <color indexed="64"/>
      </right>
      <top style="thin">
        <color rgb="FF7F7F7F"/>
      </top>
      <bottom style="medium">
        <color indexed="64"/>
      </bottom>
      <diagonal/>
    </border>
    <border>
      <left style="medium">
        <color indexed="64"/>
      </left>
      <right style="thin">
        <color rgb="FF7F7F7F"/>
      </right>
      <top style="medium">
        <color indexed="64"/>
      </top>
      <bottom style="thin">
        <color rgb="FF7F7F7F"/>
      </bottom>
      <diagonal/>
    </border>
    <border>
      <left style="medium">
        <color indexed="64"/>
      </left>
      <right style="thin">
        <color rgb="FF7F7F7F"/>
      </right>
      <top/>
      <bottom style="thin">
        <color rgb="FF7F7F7F"/>
      </bottom>
      <diagonal/>
    </border>
    <border>
      <left style="thin">
        <color rgb="FFB2B2B2"/>
      </left>
      <right style="thin">
        <color rgb="FFB2B2B2"/>
      </right>
      <top style="thin">
        <color rgb="FFB2B2B2"/>
      </top>
      <bottom/>
      <diagonal/>
    </border>
    <border>
      <left/>
      <right style="medium">
        <color indexed="64"/>
      </right>
      <top style="thin">
        <color indexed="64"/>
      </top>
      <bottom style="thin">
        <color rgb="FF7F7F7F"/>
      </bottom>
      <diagonal/>
    </border>
    <border>
      <left style="thin">
        <color rgb="FF7F7F7F"/>
      </left>
      <right style="medium">
        <color indexed="64"/>
      </right>
      <top style="thin">
        <color rgb="FF7F7F7F"/>
      </top>
      <bottom/>
      <diagonal/>
    </border>
    <border>
      <left/>
      <right style="thin">
        <color rgb="FFB2B2B2"/>
      </right>
      <top style="thin">
        <color rgb="FFB2B2B2"/>
      </top>
      <bottom/>
      <diagonal/>
    </border>
    <border>
      <left style="medium">
        <color indexed="64"/>
      </left>
      <right style="thin">
        <color rgb="FF7F7F7F"/>
      </right>
      <top style="thin">
        <color rgb="FF7F7F7F"/>
      </top>
      <bottom/>
      <diagonal/>
    </border>
    <border>
      <left style="thin">
        <color rgb="FF7F7F7F"/>
      </left>
      <right/>
      <top style="medium">
        <color indexed="64"/>
      </top>
      <bottom style="thin">
        <color rgb="FF7F7F7F"/>
      </bottom>
      <diagonal/>
    </border>
    <border>
      <left style="thin">
        <color rgb="FF7F7F7F"/>
      </left>
      <right style="medium">
        <color indexed="64"/>
      </right>
      <top style="medium">
        <color indexed="64"/>
      </top>
      <bottom/>
      <diagonal/>
    </border>
    <border>
      <left style="thin">
        <color rgb="FF7F7F7F"/>
      </left>
      <right/>
      <top style="thin">
        <color rgb="FF7F7F7F"/>
      </top>
      <bottom style="medium">
        <color indexed="64"/>
      </bottom>
      <diagonal/>
    </border>
    <border>
      <left style="thin">
        <color rgb="FF7F7F7F"/>
      </left>
      <right/>
      <top style="medium">
        <color indexed="64"/>
      </top>
      <bottom/>
      <diagonal/>
    </border>
    <border>
      <left style="medium">
        <color indexed="64"/>
      </left>
      <right style="thin">
        <color rgb="FF7F7F7F"/>
      </right>
      <top style="medium">
        <color indexed="64"/>
      </top>
      <bottom style="thin">
        <color indexed="64"/>
      </bottom>
      <diagonal/>
    </border>
    <border>
      <left style="thin">
        <color rgb="FF7F7F7F"/>
      </left>
      <right style="thin">
        <color rgb="FF7F7F7F"/>
      </right>
      <top style="medium">
        <color indexed="64"/>
      </top>
      <bottom style="thin">
        <color indexed="64"/>
      </bottom>
      <diagonal/>
    </border>
    <border>
      <left style="thin">
        <color rgb="FF7F7F7F"/>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right style="thin">
        <color rgb="FFB2B2B2"/>
      </right>
      <top/>
      <bottom style="thin">
        <color rgb="FFB2B2B2"/>
      </bottom>
      <diagonal/>
    </border>
    <border>
      <left style="thin">
        <color rgb="FFB2B2B2"/>
      </left>
      <right style="thin">
        <color rgb="FFB2B2B2"/>
      </right>
      <top/>
      <bottom style="thin">
        <color rgb="FFB2B2B2"/>
      </bottom>
      <diagonal/>
    </border>
    <border>
      <left style="thin">
        <color rgb="FFB2B2B2"/>
      </left>
      <right style="thin">
        <color rgb="FFB2B2B2"/>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1" tint="0.499984740745262"/>
      </left>
      <right style="thin">
        <color theme="1" tint="0.499984740745262"/>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style="thin">
        <color theme="0" tint="-0.24994659260841701"/>
      </left>
      <right style="thin">
        <color theme="0" tint="-0.24994659260841701"/>
      </right>
      <top style="thin">
        <color theme="0" tint="-0.24994659260841701"/>
      </top>
      <bottom/>
      <diagonal/>
    </border>
    <border>
      <left style="thin">
        <color theme="2" tint="-0.249977111117893"/>
      </left>
      <right/>
      <top/>
      <bottom style="thin">
        <color theme="2" tint="-0.249977111117893"/>
      </bottom>
      <diagonal/>
    </border>
    <border>
      <left style="thin">
        <color theme="2" tint="-0.249977111117893"/>
      </left>
      <right/>
      <top style="thin">
        <color theme="2" tint="-0.249977111117893"/>
      </top>
      <bottom style="thin">
        <color theme="2" tint="-0.249977111117893"/>
      </bottom>
      <diagonal/>
    </border>
    <border>
      <left/>
      <right style="thin">
        <color rgb="FFB2B2B2"/>
      </right>
      <top style="medium">
        <color indexed="64"/>
      </top>
      <bottom style="thin">
        <color theme="0" tint="-0.34998626667073579"/>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top/>
      <bottom style="thin">
        <color theme="0" tint="-0.24994659260841701"/>
      </bottom>
      <diagonal/>
    </border>
    <border>
      <left style="thin">
        <color theme="1" tint="0.499984740745262"/>
      </left>
      <right style="thin">
        <color theme="1" tint="0.499984740745262"/>
      </right>
      <top/>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style="thin">
        <color theme="1" tint="0.499984740745262"/>
      </left>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right/>
      <top style="thin">
        <color theme="1" tint="0.499984740745262"/>
      </top>
      <bottom style="thin">
        <color theme="1" tint="0.499984740745262"/>
      </bottom>
      <diagonal/>
    </border>
    <border>
      <left style="medium">
        <color theme="1"/>
      </left>
      <right/>
      <top style="medium">
        <color theme="1"/>
      </top>
      <bottom/>
      <diagonal/>
    </border>
    <border>
      <left/>
      <right style="medium">
        <color theme="1"/>
      </right>
      <top style="medium">
        <color theme="1"/>
      </top>
      <bottom/>
      <diagonal/>
    </border>
    <border>
      <left style="medium">
        <color theme="1"/>
      </left>
      <right/>
      <top/>
      <bottom style="medium">
        <color theme="1"/>
      </bottom>
      <diagonal/>
    </border>
    <border>
      <left/>
      <right style="medium">
        <color theme="1"/>
      </right>
      <top/>
      <bottom style="medium">
        <color theme="1"/>
      </bottom>
      <diagonal/>
    </border>
    <border>
      <left style="thin">
        <color theme="1" tint="0.499984740745262"/>
      </left>
      <right/>
      <top/>
      <bottom/>
      <diagonal/>
    </border>
    <border>
      <left/>
      <right/>
      <top style="thin">
        <color rgb="FF7F7F7F"/>
      </top>
      <bottom style="thin">
        <color rgb="FF7F7F7F"/>
      </bottom>
      <diagonal/>
    </border>
    <border>
      <left style="medium">
        <color indexed="64"/>
      </left>
      <right style="thin">
        <color indexed="64"/>
      </right>
      <top style="thin">
        <color rgb="FF7F7F7F"/>
      </top>
      <bottom style="medium">
        <color indexed="64"/>
      </bottom>
      <diagonal/>
    </border>
    <border>
      <left style="thin">
        <color indexed="64"/>
      </left>
      <right style="thin">
        <color indexed="64"/>
      </right>
      <top style="thin">
        <color rgb="FF7F7F7F"/>
      </top>
      <bottom style="medium">
        <color indexed="64"/>
      </bottom>
      <diagonal/>
    </border>
    <border>
      <left style="thin">
        <color indexed="64"/>
      </left>
      <right style="medium">
        <color indexed="64"/>
      </right>
      <top style="thin">
        <color rgb="FF7F7F7F"/>
      </top>
      <bottom style="medium">
        <color indexed="64"/>
      </bottom>
      <diagonal/>
    </border>
    <border>
      <left style="thin">
        <color theme="0" tint="-0.24994659260841701"/>
      </left>
      <right/>
      <top/>
      <bottom/>
      <diagonal/>
    </border>
    <border>
      <left/>
      <right style="thin">
        <color theme="0" tint="-0.24994659260841701"/>
      </right>
      <top/>
      <bottom/>
      <diagonal/>
    </border>
  </borders>
  <cellStyleXfs count="13">
    <xf numFmtId="0" fontId="0" fillId="0" borderId="0"/>
    <xf numFmtId="0" fontId="6" fillId="3" borderId="0" applyNumberFormat="0" applyBorder="0" applyAlignment="0" applyProtection="0"/>
    <xf numFmtId="0" fontId="7" fillId="4" borderId="16" applyNumberFormat="0" applyAlignment="0" applyProtection="0"/>
    <xf numFmtId="0" fontId="2" fillId="5" borderId="17" applyNumberFormat="0" applyFont="0" applyAlignment="0" applyProtection="0"/>
    <xf numFmtId="9" fontId="2" fillId="0" borderId="0" applyFont="0" applyFill="0" applyBorder="0" applyAlignment="0" applyProtection="0"/>
    <xf numFmtId="164" fontId="2" fillId="0" borderId="0" applyFont="0" applyFill="0" applyBorder="0" applyAlignment="0" applyProtection="0"/>
    <xf numFmtId="0" fontId="45" fillId="0" borderId="0" applyNumberFormat="0" applyFill="0" applyBorder="0" applyAlignment="0" applyProtection="0"/>
    <xf numFmtId="44" fontId="2" fillId="0" borderId="0" applyFont="0" applyFill="0" applyBorder="0" applyAlignment="0" applyProtection="0"/>
    <xf numFmtId="0" fontId="61" fillId="0" borderId="0"/>
    <xf numFmtId="0" fontId="65" fillId="0" borderId="0" applyNumberFormat="0" applyFill="0" applyBorder="0" applyAlignment="0" applyProtection="0">
      <alignment vertical="top"/>
      <protection locked="0"/>
    </xf>
    <xf numFmtId="0" fontId="2" fillId="0" borderId="0"/>
    <xf numFmtId="44" fontId="2" fillId="0" borderId="0" applyFont="0" applyFill="0" applyBorder="0" applyAlignment="0" applyProtection="0"/>
    <xf numFmtId="44" fontId="2" fillId="0" borderId="0" applyFont="0" applyFill="0" applyBorder="0" applyAlignment="0" applyProtection="0"/>
  </cellStyleXfs>
  <cellXfs count="888">
    <xf numFmtId="0" fontId="0" fillId="0" borderId="0" xfId="0"/>
    <xf numFmtId="0" fontId="3" fillId="2" borderId="1" xfId="0" applyFont="1" applyFill="1" applyBorder="1" applyAlignment="1">
      <alignment horizontal="left" vertical="top" wrapText="1"/>
    </xf>
    <xf numFmtId="0" fontId="3" fillId="2" borderId="2" xfId="0" applyFont="1" applyFill="1" applyBorder="1" applyAlignment="1">
      <alignment horizontal="justify" vertical="top" wrapText="1"/>
    </xf>
    <xf numFmtId="0" fontId="3" fillId="2" borderId="3" xfId="0" applyFont="1" applyFill="1" applyBorder="1" applyAlignment="1">
      <alignment horizontal="justify" vertical="top" wrapText="1"/>
    </xf>
    <xf numFmtId="0" fontId="4" fillId="0" borderId="0" xfId="0" applyFont="1" applyAlignment="1">
      <alignment vertical="top"/>
    </xf>
    <xf numFmtId="0" fontId="3" fillId="2" borderId="10" xfId="0" applyFont="1" applyFill="1" applyBorder="1" applyAlignment="1">
      <alignment horizontal="center" vertical="top" wrapText="1"/>
    </xf>
    <xf numFmtId="0" fontId="4" fillId="0" borderId="0" xfId="0" applyFont="1" applyAlignment="1">
      <alignment horizontal="center" vertical="top"/>
    </xf>
    <xf numFmtId="0" fontId="0" fillId="0" borderId="0" xfId="0" applyAlignment="1">
      <alignment horizontal="left" vertical="top" wrapText="1"/>
    </xf>
    <xf numFmtId="0" fontId="0" fillId="6" borderId="0" xfId="0" applyFill="1" applyAlignment="1">
      <alignment horizontal="left" vertical="top" wrapText="1"/>
    </xf>
    <xf numFmtId="0" fontId="4" fillId="6" borderId="14" xfId="0" applyFont="1" applyFill="1" applyBorder="1" applyAlignment="1">
      <alignment horizontal="left" vertical="top" wrapText="1"/>
    </xf>
    <xf numFmtId="0" fontId="4" fillId="6" borderId="24" xfId="0" applyFont="1" applyFill="1" applyBorder="1" applyAlignment="1">
      <alignment horizontal="left" vertical="top" wrapText="1"/>
    </xf>
    <xf numFmtId="0" fontId="9" fillId="6" borderId="15" xfId="0" applyFont="1" applyFill="1" applyBorder="1" applyAlignment="1">
      <alignment horizontal="left" vertical="top" wrapText="1"/>
    </xf>
    <xf numFmtId="0" fontId="10" fillId="6" borderId="31" xfId="0" applyFont="1" applyFill="1" applyBorder="1" applyAlignment="1">
      <alignment horizontal="left" vertical="top" wrapText="1"/>
    </xf>
    <xf numFmtId="0" fontId="0" fillId="6" borderId="32" xfId="0" applyFill="1" applyBorder="1" applyAlignment="1">
      <alignment horizontal="left" vertical="top" wrapText="1"/>
    </xf>
    <xf numFmtId="0" fontId="0" fillId="7" borderId="15" xfId="0" applyFill="1" applyBorder="1" applyAlignment="1">
      <alignment vertical="top" wrapText="1"/>
    </xf>
    <xf numFmtId="0" fontId="0" fillId="7" borderId="26" xfId="0" applyFill="1" applyBorder="1" applyAlignment="1">
      <alignment vertical="top" wrapText="1"/>
    </xf>
    <xf numFmtId="0" fontId="11" fillId="7" borderId="5" xfId="0" applyFont="1" applyFill="1" applyBorder="1" applyAlignment="1">
      <alignment vertical="top" wrapText="1"/>
    </xf>
    <xf numFmtId="0" fontId="9" fillId="7" borderId="0" xfId="0" applyFont="1" applyFill="1" applyAlignment="1">
      <alignment horizontal="center" vertical="top" wrapText="1"/>
    </xf>
    <xf numFmtId="0" fontId="0" fillId="6" borderId="18" xfId="0" applyFill="1" applyBorder="1" applyAlignment="1">
      <alignment horizontal="left" vertical="top" wrapText="1"/>
    </xf>
    <xf numFmtId="0" fontId="0" fillId="7" borderId="0" xfId="0" applyFill="1" applyAlignment="1">
      <alignment vertical="top" wrapText="1"/>
    </xf>
    <xf numFmtId="0" fontId="0" fillId="7" borderId="25" xfId="0" applyFill="1" applyBorder="1" applyAlignment="1">
      <alignment vertical="top" wrapText="1"/>
    </xf>
    <xf numFmtId="0" fontId="11" fillId="7" borderId="27" xfId="0" applyFont="1" applyFill="1" applyBorder="1" applyAlignment="1">
      <alignment vertical="top" wrapText="1"/>
    </xf>
    <xf numFmtId="0" fontId="0" fillId="7" borderId="24" xfId="0" applyFill="1" applyBorder="1" applyAlignment="1">
      <alignment vertical="top" wrapText="1"/>
    </xf>
    <xf numFmtId="0" fontId="11" fillId="7" borderId="6" xfId="0" applyFont="1" applyFill="1" applyBorder="1" applyAlignment="1">
      <alignment vertical="top" wrapText="1"/>
    </xf>
    <xf numFmtId="0" fontId="0" fillId="0" borderId="6" xfId="0" applyBorder="1" applyAlignment="1">
      <alignment horizontal="left" vertical="top" wrapText="1"/>
    </xf>
    <xf numFmtId="4" fontId="7" fillId="4" borderId="16" xfId="2" applyNumberFormat="1" applyAlignment="1">
      <alignment horizontal="right" vertical="top" wrapText="1"/>
    </xf>
    <xf numFmtId="4" fontId="7" fillId="4" borderId="35" xfId="2" applyNumberFormat="1" applyBorder="1" applyAlignment="1">
      <alignment horizontal="right" vertical="top" wrapText="1"/>
    </xf>
    <xf numFmtId="0" fontId="9" fillId="7" borderId="6" xfId="0" applyFont="1" applyFill="1" applyBorder="1" applyAlignment="1">
      <alignment horizontal="left" vertical="top" wrapText="1"/>
    </xf>
    <xf numFmtId="4" fontId="7" fillId="4" borderId="36" xfId="2" applyNumberFormat="1" applyBorder="1" applyAlignment="1">
      <alignment horizontal="right" vertical="top" wrapText="1"/>
    </xf>
    <xf numFmtId="4" fontId="6" fillId="3" borderId="0" xfId="1" applyNumberFormat="1" applyBorder="1" applyAlignment="1">
      <alignment horizontal="right" vertical="top" wrapText="1"/>
    </xf>
    <xf numFmtId="0" fontId="7" fillId="4" borderId="16" xfId="2" applyAlignment="1">
      <alignment horizontal="left" vertical="top"/>
    </xf>
    <xf numFmtId="0" fontId="0" fillId="0" borderId="39" xfId="0" applyBorder="1" applyAlignment="1">
      <alignment horizontal="left" vertical="top" wrapText="1"/>
    </xf>
    <xf numFmtId="4" fontId="7" fillId="4" borderId="41" xfId="2" applyNumberFormat="1" applyBorder="1" applyAlignment="1">
      <alignment horizontal="right" vertical="top" wrapText="1"/>
    </xf>
    <xf numFmtId="4" fontId="7" fillId="4" borderId="44" xfId="2" applyNumberFormat="1" applyBorder="1" applyAlignment="1">
      <alignment horizontal="right" vertical="top" wrapText="1"/>
    </xf>
    <xf numFmtId="0" fontId="14" fillId="0" borderId="0" xfId="0" applyFont="1"/>
    <xf numFmtId="0" fontId="0" fillId="6" borderId="6" xfId="0" applyFill="1" applyBorder="1" applyAlignment="1">
      <alignment horizontal="left" vertical="top" wrapText="1"/>
    </xf>
    <xf numFmtId="0" fontId="9" fillId="7" borderId="64" xfId="0" applyFont="1" applyFill="1" applyBorder="1" applyAlignment="1">
      <alignment horizontal="left" vertical="top" wrapText="1"/>
    </xf>
    <xf numFmtId="0" fontId="0" fillId="7" borderId="29" xfId="0" applyFill="1" applyBorder="1" applyAlignment="1">
      <alignment vertical="top" wrapText="1"/>
    </xf>
    <xf numFmtId="0" fontId="11" fillId="7" borderId="30" xfId="0" applyFont="1" applyFill="1" applyBorder="1" applyAlignment="1">
      <alignment vertical="top" wrapText="1"/>
    </xf>
    <xf numFmtId="4" fontId="7" fillId="4" borderId="65" xfId="2" applyNumberFormat="1" applyBorder="1" applyAlignment="1">
      <alignment horizontal="right" vertical="top" wrapText="1"/>
    </xf>
    <xf numFmtId="4" fontId="7" fillId="4" borderId="66" xfId="2" applyNumberFormat="1" applyBorder="1" applyAlignment="1">
      <alignment horizontal="right" vertical="top" wrapText="1"/>
    </xf>
    <xf numFmtId="4" fontId="7" fillId="4" borderId="67" xfId="2" applyNumberFormat="1" applyBorder="1" applyAlignment="1">
      <alignment horizontal="right" vertical="top" wrapText="1"/>
    </xf>
    <xf numFmtId="4" fontId="7" fillId="4" borderId="68" xfId="2" applyNumberFormat="1" applyBorder="1" applyAlignment="1">
      <alignment horizontal="right" vertical="top" wrapText="1"/>
    </xf>
    <xf numFmtId="4" fontId="7" fillId="4" borderId="70" xfId="2" applyNumberFormat="1" applyBorder="1" applyAlignment="1">
      <alignment horizontal="right" vertical="top" wrapText="1"/>
    </xf>
    <xf numFmtId="0" fontId="0" fillId="0" borderId="69" xfId="0" applyBorder="1" applyAlignment="1">
      <alignment horizontal="left" vertical="top" wrapText="1"/>
    </xf>
    <xf numFmtId="0" fontId="10" fillId="6" borderId="34" xfId="0" applyFont="1" applyFill="1" applyBorder="1" applyAlignment="1">
      <alignment horizontal="left" vertical="top" wrapText="1"/>
    </xf>
    <xf numFmtId="0" fontId="0" fillId="6" borderId="27" xfId="0" applyFill="1" applyBorder="1" applyAlignment="1">
      <alignment horizontal="left" vertical="top" wrapText="1"/>
    </xf>
    <xf numFmtId="4" fontId="7" fillId="4" borderId="71" xfId="2" applyNumberFormat="1" applyBorder="1" applyAlignment="1">
      <alignment horizontal="right" vertical="top" wrapText="1"/>
    </xf>
    <xf numFmtId="4" fontId="7" fillId="4" borderId="72" xfId="2" applyNumberFormat="1" applyBorder="1" applyAlignment="1">
      <alignment horizontal="right" vertical="top" wrapText="1"/>
    </xf>
    <xf numFmtId="4" fontId="7" fillId="4" borderId="73" xfId="2" applyNumberFormat="1" applyBorder="1" applyAlignment="1">
      <alignment horizontal="right" vertical="top" wrapText="1"/>
    </xf>
    <xf numFmtId="0" fontId="0" fillId="6" borderId="8" xfId="0" applyFill="1" applyBorder="1" applyAlignment="1">
      <alignment horizontal="left" vertical="top" wrapText="1"/>
    </xf>
    <xf numFmtId="0" fontId="0" fillId="6" borderId="9" xfId="0" applyFill="1" applyBorder="1" applyAlignment="1">
      <alignment horizontal="left" vertical="top" wrapText="1"/>
    </xf>
    <xf numFmtId="0" fontId="6" fillId="3" borderId="74" xfId="1" applyBorder="1" applyAlignment="1">
      <alignment horizontal="right" vertical="top" wrapText="1"/>
    </xf>
    <xf numFmtId="4" fontId="7" fillId="4" borderId="35" xfId="2" applyNumberFormat="1" applyBorder="1" applyAlignment="1">
      <alignment horizontal="left" vertical="top" wrapText="1"/>
    </xf>
    <xf numFmtId="4" fontId="7" fillId="4" borderId="75" xfId="2" applyNumberFormat="1" applyBorder="1" applyAlignment="1">
      <alignment horizontal="right" vertical="top" wrapText="1"/>
    </xf>
    <xf numFmtId="4" fontId="7" fillId="4" borderId="76" xfId="2" applyNumberFormat="1" applyBorder="1" applyAlignment="1">
      <alignment horizontal="right" vertical="top" wrapText="1"/>
    </xf>
    <xf numFmtId="4" fontId="7" fillId="4" borderId="77" xfId="2" applyNumberFormat="1" applyBorder="1" applyAlignment="1">
      <alignment horizontal="right" vertical="top" wrapText="1"/>
    </xf>
    <xf numFmtId="0" fontId="0" fillId="0" borderId="0" xfId="0" applyAlignment="1">
      <alignment wrapText="1"/>
    </xf>
    <xf numFmtId="0" fontId="9" fillId="0" borderId="0" xfId="0" applyFont="1" applyAlignment="1">
      <alignment horizontal="left" vertical="top" wrapText="1"/>
    </xf>
    <xf numFmtId="0" fontId="9" fillId="0" borderId="28" xfId="0" applyFont="1" applyBorder="1" applyAlignment="1">
      <alignment horizontal="left" vertical="top" wrapText="1"/>
    </xf>
    <xf numFmtId="3" fontId="7" fillId="4" borderId="14" xfId="2" applyNumberFormat="1" applyBorder="1" applyAlignment="1">
      <alignment horizontal="right" vertical="top" wrapText="1"/>
    </xf>
    <xf numFmtId="3" fontId="7" fillId="4" borderId="24" xfId="2" applyNumberFormat="1" applyBorder="1" applyAlignment="1">
      <alignment horizontal="right" vertical="top" wrapText="1"/>
    </xf>
    <xf numFmtId="3" fontId="7" fillId="4" borderId="15" xfId="2" applyNumberFormat="1" applyBorder="1" applyAlignment="1">
      <alignment horizontal="right" vertical="top" wrapText="1"/>
    </xf>
    <xf numFmtId="0" fontId="0" fillId="0" borderId="8" xfId="0" applyBorder="1" applyAlignment="1">
      <alignment horizontal="left" vertical="top" wrapText="1"/>
    </xf>
    <xf numFmtId="0" fontId="0" fillId="0" borderId="74" xfId="0" applyBorder="1" applyAlignment="1">
      <alignment horizontal="left" vertical="top" wrapText="1"/>
    </xf>
    <xf numFmtId="0" fontId="0" fillId="0" borderId="9" xfId="0" applyBorder="1" applyAlignment="1">
      <alignment horizontal="left" vertical="top" wrapText="1"/>
    </xf>
    <xf numFmtId="0" fontId="9" fillId="6" borderId="22" xfId="0" applyFont="1" applyFill="1" applyBorder="1" applyAlignment="1">
      <alignment horizontal="center" vertical="top" wrapText="1"/>
    </xf>
    <xf numFmtId="3" fontId="7" fillId="4" borderId="14" xfId="2" applyNumberFormat="1" applyBorder="1" applyAlignment="1">
      <alignment vertical="top" wrapText="1"/>
    </xf>
    <xf numFmtId="3" fontId="7" fillId="4" borderId="24" xfId="2" applyNumberFormat="1" applyBorder="1" applyAlignment="1">
      <alignment vertical="top" wrapText="1"/>
    </xf>
    <xf numFmtId="3" fontId="7" fillId="4" borderId="15" xfId="2" applyNumberFormat="1" applyBorder="1" applyAlignment="1">
      <alignment vertical="top" wrapText="1"/>
    </xf>
    <xf numFmtId="0" fontId="9" fillId="7" borderId="30" xfId="0" applyFont="1" applyFill="1" applyBorder="1" applyAlignment="1">
      <alignment horizontal="left" vertical="top" wrapText="1"/>
    </xf>
    <xf numFmtId="0" fontId="9" fillId="11" borderId="6" xfId="0" applyFont="1" applyFill="1" applyBorder="1" applyAlignment="1">
      <alignment horizontal="left" vertical="top" wrapText="1"/>
    </xf>
    <xf numFmtId="3" fontId="7" fillId="4" borderId="66" xfId="2" applyNumberFormat="1" applyBorder="1" applyAlignment="1">
      <alignment horizontal="right" vertical="top" wrapText="1"/>
    </xf>
    <xf numFmtId="3" fontId="7" fillId="4" borderId="67" xfId="2" applyNumberFormat="1" applyBorder="1" applyAlignment="1">
      <alignment horizontal="right" vertical="top" wrapText="1"/>
    </xf>
    <xf numFmtId="0" fontId="9" fillId="10" borderId="30" xfId="0" applyFont="1" applyFill="1" applyBorder="1" applyAlignment="1">
      <alignment horizontal="left" vertical="top" wrapText="1"/>
    </xf>
    <xf numFmtId="0" fontId="9" fillId="11" borderId="30" xfId="0" applyFont="1" applyFill="1" applyBorder="1" applyAlignment="1">
      <alignment horizontal="left" vertical="top" wrapText="1"/>
    </xf>
    <xf numFmtId="0" fontId="26" fillId="0" borderId="0" xfId="0" applyFont="1" applyAlignment="1">
      <alignment horizontal="center"/>
    </xf>
    <xf numFmtId="0" fontId="27" fillId="0" borderId="0" xfId="0" applyFont="1"/>
    <xf numFmtId="49" fontId="27" fillId="0" borderId="0" xfId="0" applyNumberFormat="1" applyFont="1"/>
    <xf numFmtId="3" fontId="7" fillId="4" borderId="67" xfId="2" applyNumberFormat="1" applyBorder="1"/>
    <xf numFmtId="0" fontId="25" fillId="0" borderId="0" xfId="0" applyFont="1" applyAlignment="1">
      <alignment horizontal="center"/>
    </xf>
    <xf numFmtId="0" fontId="27" fillId="0" borderId="0" xfId="0" applyFont="1" applyAlignment="1">
      <alignment horizontal="center"/>
    </xf>
    <xf numFmtId="0" fontId="26" fillId="0" borderId="0" xfId="0" applyFont="1"/>
    <xf numFmtId="0" fontId="26" fillId="0" borderId="0" xfId="0" applyFont="1" applyAlignment="1">
      <alignment wrapText="1"/>
    </xf>
    <xf numFmtId="0" fontId="25" fillId="0" borderId="0" xfId="0" applyFont="1"/>
    <xf numFmtId="0" fontId="9" fillId="7" borderId="64" xfId="0" applyFont="1" applyFill="1" applyBorder="1" applyAlignment="1">
      <alignment horizontal="center" vertical="top" wrapText="1"/>
    </xf>
    <xf numFmtId="3" fontId="7" fillId="4" borderId="35" xfId="2" applyNumberFormat="1" applyBorder="1"/>
    <xf numFmtId="3" fontId="7" fillId="4" borderId="82" xfId="2" applyNumberFormat="1" applyBorder="1"/>
    <xf numFmtId="0" fontId="0" fillId="6" borderId="83" xfId="0" applyFill="1" applyBorder="1" applyAlignment="1">
      <alignment horizontal="center" vertical="top" wrapText="1"/>
    </xf>
    <xf numFmtId="3" fontId="7" fillId="4" borderId="76" xfId="2" applyNumberFormat="1" applyBorder="1" applyAlignment="1">
      <alignment horizontal="right"/>
    </xf>
    <xf numFmtId="3" fontId="7" fillId="4" borderId="77" xfId="2" applyNumberFormat="1" applyBorder="1" applyAlignment="1">
      <alignment horizontal="right"/>
    </xf>
    <xf numFmtId="3" fontId="7" fillId="4" borderId="64" xfId="2" applyNumberFormat="1" applyBorder="1"/>
    <xf numFmtId="3" fontId="7" fillId="4" borderId="30" xfId="2" applyNumberFormat="1" applyBorder="1"/>
    <xf numFmtId="3" fontId="7" fillId="4" borderId="84" xfId="2" applyNumberFormat="1" applyBorder="1"/>
    <xf numFmtId="0" fontId="24" fillId="0" borderId="14" xfId="0" applyFont="1" applyBorder="1"/>
    <xf numFmtId="0" fontId="24" fillId="0" borderId="23" xfId="0" applyFont="1" applyBorder="1"/>
    <xf numFmtId="0" fontId="26" fillId="0" borderId="24" xfId="0" applyFont="1" applyBorder="1"/>
    <xf numFmtId="0" fontId="8" fillId="0" borderId="0" xfId="0" applyFont="1"/>
    <xf numFmtId="0" fontId="0" fillId="0" borderId="37" xfId="0" applyBorder="1" applyAlignment="1">
      <alignment horizontal="left"/>
    </xf>
    <xf numFmtId="0" fontId="0" fillId="0" borderId="38" xfId="0" applyBorder="1" applyAlignment="1">
      <alignment horizontal="left"/>
    </xf>
    <xf numFmtId="0" fontId="0" fillId="6" borderId="81" xfId="0" applyFill="1" applyBorder="1" applyAlignment="1">
      <alignment horizontal="center" vertical="top" wrapText="1"/>
    </xf>
    <xf numFmtId="0" fontId="0" fillId="6" borderId="55" xfId="0" applyFill="1" applyBorder="1" applyAlignment="1">
      <alignment horizontal="center" vertical="top" wrapText="1"/>
    </xf>
    <xf numFmtId="0" fontId="0" fillId="6" borderId="56" xfId="0" applyFill="1" applyBorder="1" applyAlignment="1">
      <alignment horizontal="center" vertical="top" wrapText="1"/>
    </xf>
    <xf numFmtId="3" fontId="7" fillId="4" borderId="87" xfId="2" applyNumberFormat="1" applyBorder="1"/>
    <xf numFmtId="3" fontId="7" fillId="4" borderId="72" xfId="2" applyNumberFormat="1" applyBorder="1"/>
    <xf numFmtId="3" fontId="7" fillId="4" borderId="42" xfId="2" applyNumberFormat="1" applyBorder="1"/>
    <xf numFmtId="3" fontId="7" fillId="4" borderId="45" xfId="2" applyNumberFormat="1" applyBorder="1"/>
    <xf numFmtId="3" fontId="7" fillId="4" borderId="88" xfId="2" applyNumberFormat="1" applyBorder="1"/>
    <xf numFmtId="3" fontId="7" fillId="4" borderId="89" xfId="2" applyNumberFormat="1" applyBorder="1" applyAlignment="1">
      <alignment horizontal="right" vertical="top" wrapText="1"/>
    </xf>
    <xf numFmtId="3" fontId="7" fillId="4" borderId="50" xfId="2" applyNumberFormat="1" applyBorder="1" applyAlignment="1">
      <alignment horizontal="right" vertical="top" wrapText="1"/>
    </xf>
    <xf numFmtId="3" fontId="7" fillId="4" borderId="46" xfId="2" applyNumberFormat="1" applyBorder="1" applyAlignment="1">
      <alignment vertical="top" wrapText="1"/>
    </xf>
    <xf numFmtId="3" fontId="7" fillId="4" borderId="43" xfId="2" applyNumberFormat="1" applyBorder="1" applyAlignment="1">
      <alignment vertical="top" wrapText="1"/>
    </xf>
    <xf numFmtId="3" fontId="7" fillId="4" borderId="90" xfId="2" applyNumberFormat="1" applyBorder="1" applyAlignment="1">
      <alignment vertical="top" wrapText="1"/>
    </xf>
    <xf numFmtId="3" fontId="7" fillId="4" borderId="16" xfId="2" applyNumberFormat="1" applyAlignment="1">
      <alignment vertical="top" wrapText="1"/>
    </xf>
    <xf numFmtId="0" fontId="31" fillId="0" borderId="0" xfId="0" applyFont="1"/>
    <xf numFmtId="4" fontId="7" fillId="4" borderId="48" xfId="2" applyNumberFormat="1" applyBorder="1" applyAlignment="1">
      <alignment horizontal="right" vertical="top" wrapText="1"/>
    </xf>
    <xf numFmtId="4" fontId="0" fillId="0" borderId="0" xfId="0" applyNumberFormat="1" applyAlignment="1">
      <alignment horizontal="left" vertical="top" wrapText="1"/>
    </xf>
    <xf numFmtId="0" fontId="2" fillId="6" borderId="53" xfId="0" applyFont="1" applyFill="1" applyBorder="1" applyAlignment="1">
      <alignment horizontal="center" vertical="top" wrapText="1"/>
    </xf>
    <xf numFmtId="0" fontId="2" fillId="6" borderId="81" xfId="0" applyFont="1" applyFill="1" applyBorder="1" applyAlignment="1">
      <alignment horizontal="center" vertical="top" wrapText="1"/>
    </xf>
    <xf numFmtId="0" fontId="2" fillId="6" borderId="55" xfId="0" applyFont="1" applyFill="1" applyBorder="1" applyAlignment="1">
      <alignment horizontal="center" vertical="top" wrapText="1"/>
    </xf>
    <xf numFmtId="0" fontId="2" fillId="6" borderId="56" xfId="0" applyFont="1" applyFill="1" applyBorder="1" applyAlignment="1">
      <alignment horizontal="center" vertical="top" wrapText="1"/>
    </xf>
    <xf numFmtId="0" fontId="2" fillId="0" borderId="37" xfId="0" applyFont="1" applyBorder="1" applyAlignment="1">
      <alignment horizontal="left"/>
    </xf>
    <xf numFmtId="3" fontId="7" fillId="4" borderId="92" xfId="2" applyNumberFormat="1" applyBorder="1"/>
    <xf numFmtId="3" fontId="7" fillId="4" borderId="16" xfId="2" applyNumberFormat="1"/>
    <xf numFmtId="4" fontId="7" fillId="4" borderId="93" xfId="2" applyNumberFormat="1" applyBorder="1" applyAlignment="1">
      <alignment horizontal="right" vertical="top" wrapText="1"/>
    </xf>
    <xf numFmtId="4" fontId="7" fillId="0" borderId="0" xfId="2" applyNumberFormat="1" applyFill="1" applyBorder="1" applyAlignment="1">
      <alignment horizontal="right" vertical="top" wrapText="1"/>
    </xf>
    <xf numFmtId="4" fontId="0" fillId="0" borderId="0" xfId="0" applyNumberFormat="1"/>
    <xf numFmtId="4" fontId="7" fillId="4" borderId="95" xfId="2" applyNumberFormat="1" applyBorder="1" applyAlignment="1">
      <alignment horizontal="right" vertical="top" wrapText="1"/>
    </xf>
    <xf numFmtId="0" fontId="0" fillId="0" borderId="0" xfId="0" applyAlignment="1">
      <alignment horizontal="center" vertical="top" wrapText="1"/>
    </xf>
    <xf numFmtId="0" fontId="0" fillId="0" borderId="0" xfId="0" applyAlignment="1">
      <alignment horizontal="center" vertical="top"/>
    </xf>
    <xf numFmtId="0" fontId="0" fillId="0" borderId="6" xfId="0" applyBorder="1"/>
    <xf numFmtId="0" fontId="0" fillId="0" borderId="5" xfId="0" applyBorder="1"/>
    <xf numFmtId="0" fontId="0" fillId="0" borderId="60" xfId="0" applyBorder="1" applyAlignment="1">
      <alignment horizontal="center" vertical="center"/>
    </xf>
    <xf numFmtId="0" fontId="0" fillId="0" borderId="13" xfId="0" applyBorder="1"/>
    <xf numFmtId="4" fontId="7" fillId="4" borderId="108" xfId="2" applyNumberFormat="1" applyBorder="1" applyAlignment="1">
      <alignment horizontal="right" vertical="top" wrapText="1"/>
    </xf>
    <xf numFmtId="4" fontId="7" fillId="4" borderId="107" xfId="2" applyNumberFormat="1" applyBorder="1" applyAlignment="1">
      <alignment horizontal="right" vertical="top" wrapText="1"/>
    </xf>
    <xf numFmtId="2" fontId="31" fillId="0" borderId="0" xfId="0" applyNumberFormat="1" applyFont="1"/>
    <xf numFmtId="0" fontId="0" fillId="0" borderId="0" xfId="0" applyAlignment="1">
      <alignment vertical="center"/>
    </xf>
    <xf numFmtId="0" fontId="0" fillId="0" borderId="0" xfId="0" applyAlignment="1">
      <alignment horizontal="left" vertical="center"/>
    </xf>
    <xf numFmtId="0" fontId="9" fillId="0" borderId="28" xfId="0" applyFont="1" applyBorder="1" applyAlignment="1">
      <alignment horizontal="left" vertical="center" wrapText="1"/>
    </xf>
    <xf numFmtId="0" fontId="32" fillId="0" borderId="28" xfId="0" applyFont="1" applyBorder="1" applyAlignment="1">
      <alignment horizontal="left" vertical="center" wrapText="1"/>
    </xf>
    <xf numFmtId="4" fontId="34" fillId="4" borderId="108" xfId="2" applyNumberFormat="1" applyFont="1" applyBorder="1" applyAlignment="1">
      <alignment horizontal="left" vertical="center" wrapText="1"/>
    </xf>
    <xf numFmtId="4" fontId="7" fillId="13" borderId="107" xfId="2" applyNumberFormat="1" applyFill="1" applyBorder="1" applyAlignment="1">
      <alignment horizontal="right" vertical="center" wrapText="1"/>
    </xf>
    <xf numFmtId="166" fontId="33" fillId="13" borderId="107" xfId="4" applyNumberFormat="1" applyFont="1" applyFill="1" applyBorder="1" applyAlignment="1">
      <alignment horizontal="right" vertical="center" wrapText="1"/>
    </xf>
    <xf numFmtId="3" fontId="33" fillId="13" borderId="107" xfId="4" applyNumberFormat="1" applyFont="1" applyFill="1" applyBorder="1" applyAlignment="1">
      <alignment horizontal="right" vertical="center" wrapText="1"/>
    </xf>
    <xf numFmtId="0" fontId="35" fillId="0" borderId="0" xfId="0" applyFont="1" applyAlignment="1">
      <alignment horizontal="right" vertical="center"/>
    </xf>
    <xf numFmtId="4" fontId="36" fillId="9" borderId="107" xfId="2" applyNumberFormat="1" applyFont="1" applyFill="1" applyBorder="1" applyAlignment="1">
      <alignment horizontal="right" vertical="center" wrapText="1"/>
    </xf>
    <xf numFmtId="166" fontId="37" fillId="9" borderId="107" xfId="4" applyNumberFormat="1" applyFont="1" applyFill="1" applyBorder="1" applyAlignment="1">
      <alignment horizontal="right" vertical="center" wrapText="1"/>
    </xf>
    <xf numFmtId="0" fontId="38" fillId="0" borderId="0" xfId="0" applyFont="1" applyAlignment="1">
      <alignment vertical="center"/>
    </xf>
    <xf numFmtId="3" fontId="37" fillId="9" borderId="107" xfId="4" applyNumberFormat="1" applyFont="1" applyFill="1" applyBorder="1" applyAlignment="1">
      <alignment horizontal="right" vertical="center" wrapText="1"/>
    </xf>
    <xf numFmtId="1" fontId="39" fillId="3" borderId="5" xfId="1" applyNumberFormat="1" applyFont="1" applyBorder="1" applyAlignment="1">
      <alignment horizontal="right" vertical="top" wrapText="1"/>
    </xf>
    <xf numFmtId="0" fontId="28" fillId="0" borderId="0" xfId="0" applyFont="1"/>
    <xf numFmtId="0" fontId="9" fillId="0" borderId="0" xfId="0" applyFont="1" applyAlignment="1">
      <alignment horizontal="center" vertical="top" wrapText="1"/>
    </xf>
    <xf numFmtId="3" fontId="7" fillId="0" borderId="0" xfId="2" applyNumberFormat="1" applyFill="1" applyBorder="1"/>
    <xf numFmtId="0" fontId="8" fillId="0" borderId="56" xfId="0" applyFont="1" applyBorder="1"/>
    <xf numFmtId="0" fontId="8" fillId="0" borderId="110" xfId="0" applyFont="1" applyBorder="1"/>
    <xf numFmtId="0" fontId="0" fillId="0" borderId="111" xfId="0" applyBorder="1" applyAlignment="1">
      <alignment horizontal="left"/>
    </xf>
    <xf numFmtId="0" fontId="9" fillId="7" borderId="30" xfId="0" applyFont="1" applyFill="1" applyBorder="1" applyAlignment="1">
      <alignment horizontal="center" vertical="top" wrapText="1"/>
    </xf>
    <xf numFmtId="0" fontId="0" fillId="0" borderId="6" xfId="0" applyBorder="1" applyAlignment="1">
      <alignment horizontal="right"/>
    </xf>
    <xf numFmtId="0" fontId="28" fillId="0" borderId="6" xfId="0" applyFont="1" applyBorder="1"/>
    <xf numFmtId="0" fontId="30" fillId="0" borderId="24" xfId="0" applyFont="1" applyBorder="1"/>
    <xf numFmtId="9" fontId="0" fillId="0" borderId="19" xfId="4" applyFont="1" applyBorder="1" applyAlignment="1">
      <alignment wrapText="1"/>
    </xf>
    <xf numFmtId="4" fontId="0" fillId="0" borderId="20" xfId="0" applyNumberFormat="1" applyBorder="1" applyAlignment="1">
      <alignment wrapText="1"/>
    </xf>
    <xf numFmtId="9" fontId="0" fillId="0" borderId="0" xfId="4" applyFont="1"/>
    <xf numFmtId="4" fontId="0" fillId="0" borderId="20" xfId="0" applyNumberFormat="1" applyBorder="1"/>
    <xf numFmtId="9" fontId="0" fillId="0" borderId="0" xfId="4" applyFont="1" applyBorder="1" applyAlignment="1">
      <alignment wrapText="1"/>
    </xf>
    <xf numFmtId="2" fontId="0" fillId="0" borderId="20" xfId="0" applyNumberFormat="1" applyBorder="1" applyAlignment="1">
      <alignment wrapText="1"/>
    </xf>
    <xf numFmtId="2" fontId="0" fillId="0" borderId="114" xfId="0" applyNumberFormat="1" applyBorder="1" applyAlignment="1">
      <alignment wrapText="1"/>
    </xf>
    <xf numFmtId="2" fontId="0" fillId="0" borderId="20" xfId="0" applyNumberFormat="1" applyBorder="1"/>
    <xf numFmtId="2" fontId="0" fillId="0" borderId="114" xfId="0" applyNumberFormat="1" applyBorder="1"/>
    <xf numFmtId="9" fontId="8" fillId="10" borderId="19" xfId="4" applyFont="1" applyFill="1" applyBorder="1" applyAlignment="1">
      <alignment wrapText="1"/>
    </xf>
    <xf numFmtId="9" fontId="8" fillId="10" borderId="113" xfId="4" applyFont="1" applyFill="1" applyBorder="1" applyAlignment="1">
      <alignment wrapText="1"/>
    </xf>
    <xf numFmtId="9" fontId="8" fillId="10" borderId="19" xfId="4" applyFont="1" applyFill="1" applyBorder="1"/>
    <xf numFmtId="9" fontId="8" fillId="10" borderId="113" xfId="4" applyFont="1" applyFill="1" applyBorder="1"/>
    <xf numFmtId="0" fontId="8" fillId="10" borderId="0" xfId="0" applyFont="1" applyFill="1" applyAlignment="1">
      <alignment wrapText="1"/>
    </xf>
    <xf numFmtId="4" fontId="8" fillId="10" borderId="0" xfId="0" applyNumberFormat="1" applyFont="1" applyFill="1" applyAlignment="1">
      <alignment wrapText="1"/>
    </xf>
    <xf numFmtId="0" fontId="8" fillId="10" borderId="20" xfId="0" applyFont="1" applyFill="1" applyBorder="1" applyAlignment="1">
      <alignment horizontal="right" wrapText="1"/>
    </xf>
    <xf numFmtId="0" fontId="8" fillId="10" borderId="19" xfId="0" applyFont="1" applyFill="1" applyBorder="1" applyAlignment="1">
      <alignment horizontal="right" wrapText="1"/>
    </xf>
    <xf numFmtId="0" fontId="8" fillId="10" borderId="112" xfId="0" applyFont="1" applyFill="1" applyBorder="1" applyAlignment="1">
      <alignment horizontal="right"/>
    </xf>
    <xf numFmtId="0" fontId="8" fillId="10" borderId="106" xfId="0" applyFont="1" applyFill="1" applyBorder="1" applyAlignment="1">
      <alignment horizontal="right"/>
    </xf>
    <xf numFmtId="4" fontId="0" fillId="0" borderId="0" xfId="0" applyNumberFormat="1" applyAlignment="1">
      <alignment wrapText="1"/>
    </xf>
    <xf numFmtId="2" fontId="0" fillId="0" borderId="0" xfId="0" applyNumberFormat="1" applyAlignment="1">
      <alignment wrapText="1"/>
    </xf>
    <xf numFmtId="0" fontId="8" fillId="0" borderId="0" xfId="0" applyFont="1" applyAlignment="1">
      <alignment horizontal="center" vertical="center" wrapText="1"/>
    </xf>
    <xf numFmtId="0" fontId="8" fillId="0" borderId="0" xfId="0" applyFont="1" applyAlignment="1">
      <alignment horizontal="right" wrapText="1"/>
    </xf>
    <xf numFmtId="4" fontId="8" fillId="0" borderId="0" xfId="0" applyNumberFormat="1" applyFont="1" applyAlignment="1">
      <alignment wrapText="1"/>
    </xf>
    <xf numFmtId="9" fontId="8" fillId="17" borderId="20" xfId="4" applyFont="1" applyFill="1" applyBorder="1" applyAlignment="1">
      <alignment wrapText="1"/>
    </xf>
    <xf numFmtId="2" fontId="0" fillId="0" borderId="0" xfId="0" applyNumberFormat="1"/>
    <xf numFmtId="9" fontId="8" fillId="17" borderId="21" xfId="4" applyFont="1" applyFill="1" applyBorder="1" applyAlignment="1">
      <alignment wrapText="1"/>
    </xf>
    <xf numFmtId="2" fontId="0" fillId="0" borderId="21" xfId="0" applyNumberFormat="1" applyBorder="1" applyAlignment="1">
      <alignment wrapText="1"/>
    </xf>
    <xf numFmtId="2" fontId="0" fillId="0" borderId="21" xfId="0" applyNumberFormat="1" applyBorder="1"/>
    <xf numFmtId="9" fontId="8" fillId="17" borderId="113" xfId="4" applyFont="1" applyFill="1" applyBorder="1" applyAlignment="1">
      <alignment wrapText="1"/>
    </xf>
    <xf numFmtId="9" fontId="8" fillId="17" borderId="114" xfId="4" applyFont="1" applyFill="1" applyBorder="1" applyAlignment="1">
      <alignment wrapText="1"/>
    </xf>
    <xf numFmtId="9" fontId="8" fillId="17" borderId="106" xfId="4" applyFont="1" applyFill="1" applyBorder="1" applyAlignment="1">
      <alignment wrapText="1"/>
    </xf>
    <xf numFmtId="0" fontId="0" fillId="15" borderId="55" xfId="0" applyFill="1" applyBorder="1"/>
    <xf numFmtId="0" fontId="0" fillId="15" borderId="22" xfId="0" applyFill="1" applyBorder="1"/>
    <xf numFmtId="0" fontId="0" fillId="15" borderId="80" xfId="0" applyFill="1" applyBorder="1"/>
    <xf numFmtId="0" fontId="0" fillId="15" borderId="104" xfId="0" applyFill="1" applyBorder="1"/>
    <xf numFmtId="0" fontId="0" fillId="0" borderId="0" xfId="0" applyAlignment="1">
      <alignment horizontal="center"/>
    </xf>
    <xf numFmtId="0" fontId="8" fillId="17" borderId="0" xfId="0" applyFont="1" applyFill="1"/>
    <xf numFmtId="0" fontId="8" fillId="17" borderId="0" xfId="0" applyFont="1" applyFill="1" applyAlignment="1">
      <alignment horizontal="left"/>
    </xf>
    <xf numFmtId="0" fontId="8" fillId="0" borderId="64" xfId="0" applyFont="1" applyBorder="1" applyAlignment="1">
      <alignment horizontal="center" vertical="center" wrapText="1"/>
    </xf>
    <xf numFmtId="0" fontId="29" fillId="0" borderId="123" xfId="0" applyFont="1" applyBorder="1" applyAlignment="1">
      <alignment horizontal="center" wrapText="1"/>
    </xf>
    <xf numFmtId="0" fontId="29" fillId="0" borderId="125" xfId="0" applyFont="1" applyBorder="1" applyAlignment="1">
      <alignment wrapText="1"/>
    </xf>
    <xf numFmtId="0" fontId="8" fillId="0" borderId="0" xfId="0" applyFont="1" applyAlignment="1">
      <alignment horizontal="center"/>
    </xf>
    <xf numFmtId="0" fontId="8" fillId="0" borderId="0" xfId="0" applyFont="1" applyAlignment="1">
      <alignment vertical="center"/>
    </xf>
    <xf numFmtId="0" fontId="8" fillId="0" borderId="126" xfId="0" applyFont="1" applyBorder="1" applyAlignment="1">
      <alignment horizontal="center" vertical="center" wrapText="1"/>
    </xf>
    <xf numFmtId="0" fontId="8" fillId="0" borderId="0" xfId="0" applyFont="1" applyAlignment="1">
      <alignment horizontal="center" vertical="center"/>
    </xf>
    <xf numFmtId="0" fontId="8" fillId="0" borderId="120" xfId="0" applyFont="1" applyBorder="1" applyAlignment="1">
      <alignment horizontal="center" vertical="center" wrapText="1"/>
    </xf>
    <xf numFmtId="0" fontId="0" fillId="0" borderId="0" xfId="0" applyAlignment="1">
      <alignment horizontal="left"/>
    </xf>
    <xf numFmtId="0" fontId="0" fillId="0" borderId="120" xfId="0" applyBorder="1" applyAlignment="1">
      <alignment horizontal="center" vertical="center" wrapText="1"/>
    </xf>
    <xf numFmtId="0" fontId="0" fillId="0" borderId="121" xfId="0" applyBorder="1" applyAlignment="1">
      <alignment horizontal="center" vertical="center" wrapText="1"/>
    </xf>
    <xf numFmtId="0" fontId="0" fillId="15" borderId="103" xfId="0" applyFill="1" applyBorder="1"/>
    <xf numFmtId="0" fontId="0" fillId="15" borderId="104" xfId="0" applyFill="1" applyBorder="1" applyAlignment="1">
      <alignment horizontal="center"/>
    </xf>
    <xf numFmtId="0" fontId="0" fillId="15" borderId="22" xfId="0" applyFill="1" applyBorder="1" applyAlignment="1">
      <alignment horizontal="center"/>
    </xf>
    <xf numFmtId="0" fontId="0" fillId="15" borderId="103" xfId="0" applyFill="1" applyBorder="1" applyAlignment="1">
      <alignment horizontal="center"/>
    </xf>
    <xf numFmtId="0" fontId="29" fillId="0" borderId="122" xfId="0" applyFont="1" applyBorder="1" applyAlignment="1">
      <alignment horizontal="center" wrapText="1"/>
    </xf>
    <xf numFmtId="0" fontId="0" fillId="15" borderId="114" xfId="0" applyFill="1" applyBorder="1" applyAlignment="1">
      <alignment horizontal="center"/>
    </xf>
    <xf numFmtId="0" fontId="30" fillId="9" borderId="64" xfId="0" applyFont="1" applyFill="1" applyBorder="1" applyAlignment="1">
      <alignment horizontal="left" vertical="top"/>
    </xf>
    <xf numFmtId="0" fontId="0" fillId="15" borderId="126" xfId="0" applyFill="1" applyBorder="1"/>
    <xf numFmtId="0" fontId="0" fillId="15" borderId="120" xfId="0" applyFill="1" applyBorder="1" applyAlignment="1">
      <alignment horizontal="left"/>
    </xf>
    <xf numFmtId="0" fontId="0" fillId="15" borderId="120" xfId="0" applyFill="1" applyBorder="1" applyAlignment="1">
      <alignment horizontal="center"/>
    </xf>
    <xf numFmtId="0" fontId="0" fillId="15" borderId="121" xfId="0" applyFill="1" applyBorder="1"/>
    <xf numFmtId="0" fontId="29" fillId="0" borderId="124" xfId="0" applyFont="1" applyBorder="1" applyAlignment="1">
      <alignment wrapText="1"/>
    </xf>
    <xf numFmtId="0" fontId="0" fillId="15" borderId="113" xfId="0" applyFill="1" applyBorder="1" applyAlignment="1">
      <alignment horizontal="center"/>
    </xf>
    <xf numFmtId="0" fontId="0" fillId="15" borderId="115" xfId="0" applyFill="1" applyBorder="1" applyAlignment="1">
      <alignment horizontal="center"/>
    </xf>
    <xf numFmtId="0" fontId="0" fillId="15" borderId="115" xfId="0" applyFill="1" applyBorder="1"/>
    <xf numFmtId="0" fontId="29" fillId="0" borderId="29" xfId="0" applyFont="1" applyBorder="1" applyAlignment="1">
      <alignment horizontal="center" wrapText="1"/>
    </xf>
    <xf numFmtId="0" fontId="0" fillId="15" borderId="126" xfId="0" applyFill="1" applyBorder="1" applyAlignment="1">
      <alignment horizontal="center"/>
    </xf>
    <xf numFmtId="0" fontId="44" fillId="0" borderId="0" xfId="0" applyFont="1"/>
    <xf numFmtId="0" fontId="8" fillId="9" borderId="127" xfId="0" applyFont="1" applyFill="1" applyBorder="1"/>
    <xf numFmtId="0" fontId="8" fillId="9" borderId="123" xfId="0" applyFont="1" applyFill="1" applyBorder="1"/>
    <xf numFmtId="0" fontId="8" fillId="9" borderId="125" xfId="0" applyFont="1" applyFill="1" applyBorder="1"/>
    <xf numFmtId="0" fontId="0" fillId="23" borderId="104" xfId="0" applyFill="1" applyBorder="1"/>
    <xf numFmtId="0" fontId="0" fillId="23" borderId="22" xfId="0" applyFill="1" applyBorder="1"/>
    <xf numFmtId="0" fontId="29" fillId="15" borderId="22" xfId="0" applyFont="1" applyFill="1" applyBorder="1"/>
    <xf numFmtId="0" fontId="8" fillId="0" borderId="55" xfId="0" applyFont="1" applyBorder="1" applyAlignment="1">
      <alignment horizontal="center"/>
    </xf>
    <xf numFmtId="0" fontId="8" fillId="0" borderId="0" xfId="0" applyFont="1" applyAlignment="1">
      <alignment vertical="top" wrapText="1"/>
    </xf>
    <xf numFmtId="0" fontId="8" fillId="0" borderId="0" xfId="0" applyFont="1" applyAlignment="1">
      <alignment vertical="top"/>
    </xf>
    <xf numFmtId="4" fontId="13" fillId="5" borderId="40" xfId="3" applyNumberFormat="1" applyFont="1" applyBorder="1" applyAlignment="1" applyProtection="1">
      <alignment horizontal="right" vertical="top" wrapText="1"/>
      <protection locked="0"/>
    </xf>
    <xf numFmtId="4" fontId="13" fillId="5" borderId="17" xfId="3" applyNumberFormat="1" applyFont="1" applyAlignment="1" applyProtection="1">
      <alignment horizontal="right" vertical="top" wrapText="1"/>
      <protection locked="0"/>
    </xf>
    <xf numFmtId="4" fontId="13" fillId="5" borderId="94" xfId="3" applyNumberFormat="1" applyFont="1" applyBorder="1" applyAlignment="1" applyProtection="1">
      <alignment horizontal="right" vertical="top" wrapText="1"/>
      <protection locked="0"/>
    </xf>
    <xf numFmtId="4" fontId="13" fillId="5" borderId="91" xfId="3" applyNumberFormat="1" applyFont="1" applyBorder="1" applyAlignment="1" applyProtection="1">
      <alignment horizontal="right" vertical="top" wrapText="1"/>
      <protection locked="0"/>
    </xf>
    <xf numFmtId="0" fontId="0" fillId="16" borderId="0" xfId="0" applyFill="1" applyAlignment="1">
      <alignment horizontal="left" vertical="top" wrapText="1"/>
    </xf>
    <xf numFmtId="0" fontId="29" fillId="0" borderId="0" xfId="0" applyFont="1" applyAlignment="1">
      <alignment horizontal="left" vertical="top" wrapText="1"/>
    </xf>
    <xf numFmtId="0" fontId="9" fillId="16" borderId="0" xfId="0" applyFont="1" applyFill="1" applyAlignment="1">
      <alignment horizontal="left" vertical="top" wrapText="1"/>
    </xf>
    <xf numFmtId="0" fontId="9" fillId="16" borderId="15" xfId="0" applyFont="1" applyFill="1" applyBorder="1" applyAlignment="1">
      <alignment horizontal="left" vertical="top" wrapText="1"/>
    </xf>
    <xf numFmtId="0" fontId="9" fillId="16" borderId="26" xfId="0" applyFont="1" applyFill="1" applyBorder="1" applyAlignment="1">
      <alignment horizontal="left" vertical="top" wrapText="1"/>
    </xf>
    <xf numFmtId="0" fontId="9" fillId="16" borderId="5" xfId="0" applyFont="1" applyFill="1" applyBorder="1" applyAlignment="1">
      <alignment horizontal="left" vertical="top" wrapText="1"/>
    </xf>
    <xf numFmtId="0" fontId="9" fillId="16" borderId="0" xfId="0" applyFont="1" applyFill="1" applyAlignment="1">
      <alignment horizontal="center" vertical="top" wrapText="1"/>
    </xf>
    <xf numFmtId="0" fontId="9" fillId="16" borderId="27" xfId="0" applyFont="1" applyFill="1" applyBorder="1" applyAlignment="1">
      <alignment horizontal="center" vertical="top" wrapText="1"/>
    </xf>
    <xf numFmtId="0" fontId="12" fillId="0" borderId="0" xfId="0" applyFont="1" applyAlignment="1">
      <alignment horizontal="left" vertical="top" wrapText="1"/>
    </xf>
    <xf numFmtId="0" fontId="0" fillId="0" borderId="13" xfId="0" applyBorder="1" applyAlignment="1">
      <alignment horizontal="left" vertical="top" wrapText="1"/>
    </xf>
    <xf numFmtId="167" fontId="0" fillId="0" borderId="14" xfId="5" applyNumberFormat="1" applyFont="1" applyBorder="1" applyAlignment="1" applyProtection="1">
      <alignment horizontal="center" vertical="center" wrapText="1"/>
    </xf>
    <xf numFmtId="167" fontId="0" fillId="0" borderId="23" xfId="5" applyNumberFormat="1" applyFont="1" applyBorder="1" applyAlignment="1" applyProtection="1">
      <alignment horizontal="center" vertical="center" wrapText="1"/>
    </xf>
    <xf numFmtId="167" fontId="0" fillId="0" borderId="13" xfId="5" applyNumberFormat="1" applyFont="1" applyBorder="1" applyAlignment="1" applyProtection="1">
      <alignment horizontal="center" vertical="center" wrapText="1"/>
    </xf>
    <xf numFmtId="167" fontId="13" fillId="5" borderId="78" xfId="5" applyNumberFormat="1" applyFont="1" applyFill="1" applyBorder="1" applyAlignment="1" applyProtection="1">
      <alignment horizontal="center" vertical="center" wrapText="1"/>
    </xf>
    <xf numFmtId="167" fontId="13" fillId="5" borderId="51" xfId="5" applyNumberFormat="1" applyFont="1" applyFill="1" applyBorder="1" applyAlignment="1" applyProtection="1">
      <alignment horizontal="center" vertical="center" wrapText="1"/>
    </xf>
    <xf numFmtId="167" fontId="42" fillId="18" borderId="51" xfId="5" applyNumberFormat="1" applyFont="1" applyFill="1" applyBorder="1" applyAlignment="1" applyProtection="1">
      <alignment horizontal="center" vertical="center" wrapText="1"/>
    </xf>
    <xf numFmtId="9" fontId="29" fillId="0" borderId="0" xfId="4" applyFont="1" applyAlignment="1" applyProtection="1">
      <alignment horizontal="left" vertical="top" wrapText="1"/>
    </xf>
    <xf numFmtId="167" fontId="0" fillId="0" borderId="24" xfId="5" applyNumberFormat="1" applyFont="1" applyBorder="1" applyAlignment="1" applyProtection="1">
      <alignment horizontal="center" vertical="center" wrapText="1"/>
    </xf>
    <xf numFmtId="167" fontId="0" fillId="0" borderId="0" xfId="5" applyNumberFormat="1" applyFont="1" applyBorder="1" applyAlignment="1" applyProtection="1">
      <alignment horizontal="center" vertical="center" wrapText="1"/>
    </xf>
    <xf numFmtId="167" fontId="0" fillId="0" borderId="6" xfId="5" applyNumberFormat="1" applyFont="1" applyBorder="1" applyAlignment="1" applyProtection="1">
      <alignment horizontal="center" vertical="center" wrapText="1"/>
    </xf>
    <xf numFmtId="167" fontId="42" fillId="18" borderId="17" xfId="5" applyNumberFormat="1" applyFont="1" applyFill="1" applyBorder="1" applyAlignment="1" applyProtection="1">
      <alignment horizontal="center" vertical="center" wrapText="1"/>
    </xf>
    <xf numFmtId="0" fontId="0" fillId="0" borderId="5" xfId="0" applyBorder="1" applyAlignment="1">
      <alignment horizontal="left" vertical="top" wrapText="1"/>
    </xf>
    <xf numFmtId="167" fontId="0" fillId="0" borderId="15" xfId="5" applyNumberFormat="1" applyFont="1" applyBorder="1" applyAlignment="1" applyProtection="1">
      <alignment horizontal="center" vertical="center" wrapText="1"/>
    </xf>
    <xf numFmtId="167" fontId="0" fillId="0" borderId="26" xfId="5" applyNumberFormat="1" applyFont="1" applyBorder="1" applyAlignment="1" applyProtection="1">
      <alignment horizontal="center" vertical="center" wrapText="1"/>
    </xf>
    <xf numFmtId="167" fontId="0" fillId="0" borderId="5" xfId="5" applyNumberFormat="1" applyFont="1" applyBorder="1" applyAlignment="1" applyProtection="1">
      <alignment horizontal="center" vertical="center" wrapText="1"/>
    </xf>
    <xf numFmtId="167" fontId="42" fillId="18" borderId="52" xfId="5" applyNumberFormat="1" applyFont="1" applyFill="1" applyBorder="1" applyAlignment="1" applyProtection="1">
      <alignment horizontal="center" vertical="center" wrapText="1"/>
    </xf>
    <xf numFmtId="168" fontId="0" fillId="0" borderId="14" xfId="0" applyNumberFormat="1" applyBorder="1" applyAlignment="1">
      <alignment horizontal="center" vertical="center" wrapText="1"/>
    </xf>
    <xf numFmtId="168" fontId="0" fillId="0" borderId="23" xfId="0" applyNumberFormat="1" applyBorder="1" applyAlignment="1">
      <alignment horizontal="center" vertical="center" wrapText="1"/>
    </xf>
    <xf numFmtId="168" fontId="0" fillId="0" borderId="13" xfId="0" applyNumberFormat="1" applyBorder="1" applyAlignment="1">
      <alignment horizontal="center" vertical="center" wrapText="1"/>
    </xf>
    <xf numFmtId="168" fontId="42" fillId="18" borderId="51" xfId="3" applyNumberFormat="1" applyFont="1" applyFill="1" applyBorder="1" applyAlignment="1" applyProtection="1">
      <alignment horizontal="center" vertical="center" wrapText="1"/>
    </xf>
    <xf numFmtId="168" fontId="0" fillId="0" borderId="24" xfId="0" applyNumberFormat="1" applyBorder="1" applyAlignment="1">
      <alignment horizontal="center" vertical="center" wrapText="1"/>
    </xf>
    <xf numFmtId="168" fontId="0" fillId="0" borderId="0" xfId="0" applyNumberFormat="1" applyAlignment="1">
      <alignment horizontal="center" vertical="center" wrapText="1"/>
    </xf>
    <xf numFmtId="168" fontId="0" fillId="0" borderId="6" xfId="0" applyNumberFormat="1" applyBorder="1" applyAlignment="1">
      <alignment horizontal="center" vertical="center" wrapText="1"/>
    </xf>
    <xf numFmtId="168" fontId="42" fillId="18" borderId="17" xfId="3" applyNumberFormat="1" applyFont="1" applyFill="1" applyAlignment="1" applyProtection="1">
      <alignment horizontal="center" vertical="center" wrapText="1"/>
    </xf>
    <xf numFmtId="168" fontId="0" fillId="0" borderId="15" xfId="0" applyNumberFormat="1" applyBorder="1" applyAlignment="1">
      <alignment horizontal="center" vertical="center" wrapText="1"/>
    </xf>
    <xf numFmtId="168" fontId="0" fillId="0" borderId="26" xfId="0" applyNumberFormat="1" applyBorder="1" applyAlignment="1">
      <alignment horizontal="center" vertical="center" wrapText="1"/>
    </xf>
    <xf numFmtId="168" fontId="0" fillId="0" borderId="5" xfId="0" applyNumberFormat="1" applyBorder="1" applyAlignment="1">
      <alignment horizontal="center" vertical="center" wrapText="1"/>
    </xf>
    <xf numFmtId="168" fontId="42" fillId="18" borderId="52" xfId="3" applyNumberFormat="1" applyFont="1" applyFill="1" applyBorder="1" applyAlignment="1" applyProtection="1">
      <alignment horizontal="center" vertical="center" wrapText="1"/>
    </xf>
    <xf numFmtId="9" fontId="29" fillId="0" borderId="18" xfId="0" applyNumberFormat="1" applyFont="1" applyBorder="1" applyAlignment="1">
      <alignment horizontal="left" vertical="top" wrapText="1"/>
    </xf>
    <xf numFmtId="0" fontId="0" fillId="0" borderId="18" xfId="0" applyBorder="1" applyAlignment="1">
      <alignment horizontal="left" vertical="top" wrapText="1"/>
    </xf>
    <xf numFmtId="0" fontId="29" fillId="0" borderId="21" xfId="0" applyFont="1" applyBorder="1" applyAlignment="1">
      <alignment horizontal="left" vertical="top" wrapText="1"/>
    </xf>
    <xf numFmtId="0" fontId="0" fillId="0" borderId="21" xfId="0" applyBorder="1" applyAlignment="1">
      <alignment horizontal="left" vertical="top" wrapText="1"/>
    </xf>
    <xf numFmtId="0" fontId="8" fillId="14" borderId="28" xfId="0" applyFont="1" applyFill="1" applyBorder="1" applyAlignment="1">
      <alignment horizontal="left" vertical="top" wrapText="1"/>
    </xf>
    <xf numFmtId="0" fontId="0" fillId="14" borderId="29" xfId="0" applyFill="1" applyBorder="1" applyAlignment="1">
      <alignment horizontal="left" vertical="top" wrapText="1"/>
    </xf>
    <xf numFmtId="0" fontId="0" fillId="14" borderId="30" xfId="0" applyFill="1" applyBorder="1" applyAlignment="1">
      <alignment horizontal="left" vertical="top" wrapText="1"/>
    </xf>
    <xf numFmtId="0" fontId="40" fillId="14" borderId="29" xfId="0" applyFont="1" applyFill="1" applyBorder="1" applyAlignment="1">
      <alignment horizontal="left" vertical="top" wrapText="1"/>
    </xf>
    <xf numFmtId="0" fontId="13" fillId="14" borderId="119" xfId="3" applyFont="1" applyFill="1" applyBorder="1" applyAlignment="1" applyProtection="1">
      <alignment horizontal="right" vertical="top" wrapText="1"/>
    </xf>
    <xf numFmtId="0" fontId="42" fillId="14" borderId="119" xfId="3" applyFont="1" applyFill="1" applyBorder="1" applyAlignment="1" applyProtection="1">
      <alignment horizontal="right" vertical="top" wrapText="1"/>
    </xf>
    <xf numFmtId="0" fontId="0" fillId="7" borderId="6" xfId="0" applyFill="1" applyBorder="1" applyAlignment="1">
      <alignment horizontal="left" vertical="top" wrapText="1"/>
    </xf>
    <xf numFmtId="167" fontId="43" fillId="18" borderId="24" xfId="5" applyNumberFormat="1" applyFont="1" applyFill="1" applyBorder="1" applyAlignment="1" applyProtection="1">
      <alignment horizontal="center" vertical="center" wrapText="1"/>
    </xf>
    <xf numFmtId="167" fontId="43" fillId="18" borderId="0" xfId="5" applyNumberFormat="1" applyFont="1" applyFill="1" applyBorder="1" applyAlignment="1" applyProtection="1">
      <alignment horizontal="center" vertical="center" wrapText="1"/>
    </xf>
    <xf numFmtId="167" fontId="43" fillId="18" borderId="6" xfId="5" applyNumberFormat="1" applyFont="1" applyFill="1" applyBorder="1" applyAlignment="1" applyProtection="1">
      <alignment horizontal="center" vertical="center" wrapText="1"/>
    </xf>
    <xf numFmtId="167" fontId="42" fillId="21" borderId="117" xfId="5" applyNumberFormat="1" applyFont="1" applyFill="1" applyBorder="1" applyAlignment="1" applyProtection="1">
      <alignment horizontal="center" vertical="center" wrapText="1"/>
    </xf>
    <xf numFmtId="167" fontId="42" fillId="21" borderId="118" xfId="5" applyNumberFormat="1" applyFont="1" applyFill="1" applyBorder="1" applyAlignment="1" applyProtection="1">
      <alignment horizontal="center" vertical="center" wrapText="1"/>
    </xf>
    <xf numFmtId="167" fontId="42" fillId="18" borderId="118" xfId="5" applyNumberFormat="1" applyFont="1" applyFill="1" applyBorder="1" applyAlignment="1" applyProtection="1">
      <alignment horizontal="center" vertical="center" wrapText="1"/>
    </xf>
    <xf numFmtId="9" fontId="29" fillId="0" borderId="24" xfId="0" applyNumberFormat="1" applyFont="1" applyBorder="1" applyAlignment="1">
      <alignment horizontal="left" vertical="top" wrapText="1"/>
    </xf>
    <xf numFmtId="167" fontId="42" fillId="21" borderId="40" xfId="5" applyNumberFormat="1" applyFont="1" applyFill="1" applyBorder="1" applyAlignment="1" applyProtection="1">
      <alignment horizontal="center" vertical="center" wrapText="1"/>
    </xf>
    <xf numFmtId="167" fontId="42" fillId="21" borderId="17" xfId="5" applyNumberFormat="1" applyFont="1" applyFill="1" applyBorder="1" applyAlignment="1" applyProtection="1">
      <alignment horizontal="center" vertical="center" wrapText="1"/>
    </xf>
    <xf numFmtId="0" fontId="0" fillId="7" borderId="5" xfId="0" applyFill="1" applyBorder="1" applyAlignment="1">
      <alignment horizontal="left" vertical="top" wrapText="1"/>
    </xf>
    <xf numFmtId="167" fontId="43" fillId="18" borderId="15" xfId="5" applyNumberFormat="1" applyFont="1" applyFill="1" applyBorder="1" applyAlignment="1" applyProtection="1">
      <alignment horizontal="center" vertical="center" wrapText="1"/>
    </xf>
    <xf numFmtId="167" fontId="43" fillId="18" borderId="26" xfId="5" applyNumberFormat="1" applyFont="1" applyFill="1" applyBorder="1" applyAlignment="1" applyProtection="1">
      <alignment horizontal="center" vertical="center" wrapText="1"/>
    </xf>
    <xf numFmtId="167" fontId="43" fillId="18" borderId="5" xfId="5" applyNumberFormat="1" applyFont="1" applyFill="1" applyBorder="1" applyAlignment="1" applyProtection="1">
      <alignment horizontal="center" vertical="center" wrapText="1"/>
    </xf>
    <xf numFmtId="167" fontId="42" fillId="21" borderId="79" xfId="5" applyNumberFormat="1" applyFont="1" applyFill="1" applyBorder="1" applyAlignment="1" applyProtection="1">
      <alignment horizontal="center" vertical="center" wrapText="1"/>
    </xf>
    <xf numFmtId="167" fontId="42" fillId="21" borderId="52" xfId="5" applyNumberFormat="1" applyFont="1" applyFill="1" applyBorder="1" applyAlignment="1" applyProtection="1">
      <alignment horizontal="center" vertical="center" wrapText="1"/>
    </xf>
    <xf numFmtId="167" fontId="42" fillId="21" borderId="78" xfId="5" applyNumberFormat="1" applyFont="1" applyFill="1" applyBorder="1" applyAlignment="1" applyProtection="1">
      <alignment horizontal="center" vertical="center" wrapText="1"/>
    </xf>
    <xf numFmtId="167" fontId="42" fillId="21" borderId="51" xfId="5" applyNumberFormat="1" applyFont="1" applyFill="1" applyBorder="1" applyAlignment="1" applyProtection="1">
      <alignment horizontal="center" vertical="center" wrapText="1"/>
    </xf>
    <xf numFmtId="168" fontId="42" fillId="21" borderId="78" xfId="5" applyNumberFormat="1" applyFont="1" applyFill="1" applyBorder="1" applyAlignment="1" applyProtection="1">
      <alignment horizontal="center" vertical="center" wrapText="1"/>
    </xf>
    <xf numFmtId="168" fontId="42" fillId="21" borderId="51" xfId="5" applyNumberFormat="1" applyFont="1" applyFill="1" applyBorder="1" applyAlignment="1" applyProtection="1">
      <alignment horizontal="center" vertical="center" wrapText="1"/>
    </xf>
    <xf numFmtId="168" fontId="42" fillId="18" borderId="51" xfId="5" applyNumberFormat="1" applyFont="1" applyFill="1" applyBorder="1" applyAlignment="1" applyProtection="1">
      <alignment horizontal="center" vertical="center" wrapText="1"/>
    </xf>
    <xf numFmtId="168" fontId="42" fillId="21" borderId="40" xfId="5" applyNumberFormat="1" applyFont="1" applyFill="1" applyBorder="1" applyAlignment="1" applyProtection="1">
      <alignment horizontal="center" vertical="center" wrapText="1"/>
    </xf>
    <xf numFmtId="168" fontId="42" fillId="21" borderId="17" xfId="5" applyNumberFormat="1" applyFont="1" applyFill="1" applyBorder="1" applyAlignment="1" applyProtection="1">
      <alignment horizontal="center" vertical="center" wrapText="1"/>
    </xf>
    <xf numFmtId="168" fontId="42" fillId="18" borderId="17" xfId="5" applyNumberFormat="1" applyFont="1" applyFill="1" applyBorder="1" applyAlignment="1" applyProtection="1">
      <alignment horizontal="center" vertical="center" wrapText="1"/>
    </xf>
    <xf numFmtId="168" fontId="42" fillId="21" borderId="79" xfId="5" applyNumberFormat="1" applyFont="1" applyFill="1" applyBorder="1" applyAlignment="1" applyProtection="1">
      <alignment horizontal="center" vertical="center" wrapText="1"/>
    </xf>
    <xf numFmtId="168" fontId="42" fillId="21" borderId="52" xfId="5" applyNumberFormat="1" applyFont="1" applyFill="1" applyBorder="1" applyAlignment="1" applyProtection="1">
      <alignment horizontal="center" vertical="center" wrapText="1"/>
    </xf>
    <xf numFmtId="168" fontId="42" fillId="18" borderId="52" xfId="5" applyNumberFormat="1" applyFont="1" applyFill="1" applyBorder="1" applyAlignment="1" applyProtection="1">
      <alignment horizontal="center" vertical="center" wrapText="1"/>
    </xf>
    <xf numFmtId="0" fontId="0" fillId="0" borderId="20" xfId="0" applyBorder="1" applyAlignment="1">
      <alignment horizontal="left" vertical="top" wrapText="1"/>
    </xf>
    <xf numFmtId="0" fontId="0" fillId="0" borderId="19" xfId="0" applyBorder="1" applyAlignment="1">
      <alignment horizontal="left" vertical="top" wrapText="1"/>
    </xf>
    <xf numFmtId="0" fontId="0" fillId="0" borderId="6" xfId="0" applyBorder="1" applyAlignment="1">
      <alignment horizontal="left"/>
    </xf>
    <xf numFmtId="3" fontId="7" fillId="4" borderId="74" xfId="2" applyNumberFormat="1" applyBorder="1" applyAlignment="1">
      <alignment horizontal="right"/>
    </xf>
    <xf numFmtId="3" fontId="7" fillId="4" borderId="87" xfId="2" applyNumberFormat="1" applyBorder="1" applyProtection="1">
      <protection locked="0"/>
    </xf>
    <xf numFmtId="3" fontId="7" fillId="4" borderId="35" xfId="2" applyNumberFormat="1" applyBorder="1" applyProtection="1">
      <protection locked="0"/>
    </xf>
    <xf numFmtId="3" fontId="7" fillId="4" borderId="72" xfId="2" applyNumberFormat="1" applyBorder="1" applyProtection="1">
      <protection locked="0"/>
    </xf>
    <xf numFmtId="0" fontId="5" fillId="24" borderId="4" xfId="0" applyFont="1" applyFill="1" applyBorder="1" applyAlignment="1">
      <alignment horizontal="left" vertical="top" wrapText="1"/>
    </xf>
    <xf numFmtId="0" fontId="5" fillId="24" borderId="5" xfId="0" applyFont="1" applyFill="1" applyBorder="1" applyAlignment="1">
      <alignment horizontal="justify" vertical="top" wrapText="1"/>
    </xf>
    <xf numFmtId="0" fontId="5" fillId="24" borderId="5" xfId="0" applyFont="1" applyFill="1" applyBorder="1" applyAlignment="1">
      <alignment horizontal="center" vertical="top" wrapText="1"/>
    </xf>
    <xf numFmtId="0" fontId="5" fillId="24" borderId="6" xfId="0" applyFont="1" applyFill="1" applyBorder="1" applyAlignment="1">
      <alignment horizontal="justify" vertical="top" wrapText="1"/>
    </xf>
    <xf numFmtId="0" fontId="5" fillId="24" borderId="24" xfId="0" applyFont="1" applyFill="1" applyBorder="1" applyAlignment="1">
      <alignment horizontal="left" vertical="top" wrapText="1"/>
    </xf>
    <xf numFmtId="0" fontId="5" fillId="24" borderId="64" xfId="0" applyFont="1" applyFill="1" applyBorder="1" applyAlignment="1">
      <alignment horizontal="justify" vertical="top" wrapText="1"/>
    </xf>
    <xf numFmtId="0" fontId="5" fillId="24" borderId="6" xfId="0" applyFont="1" applyFill="1" applyBorder="1" applyAlignment="1">
      <alignment horizontal="center" vertical="top" wrapText="1"/>
    </xf>
    <xf numFmtId="0" fontId="5" fillId="24" borderId="64" xfId="0" applyFont="1" applyFill="1" applyBorder="1" applyAlignment="1">
      <alignment horizontal="left" vertical="top" wrapText="1"/>
    </xf>
    <xf numFmtId="0" fontId="5" fillId="24" borderId="64" xfId="0" applyFont="1" applyFill="1" applyBorder="1" applyAlignment="1">
      <alignment horizontal="center" vertical="top" wrapText="1"/>
    </xf>
    <xf numFmtId="0" fontId="41" fillId="0" borderId="0" xfId="0" applyFont="1"/>
    <xf numFmtId="0" fontId="48" fillId="20" borderId="60" xfId="0" applyFont="1" applyFill="1" applyBorder="1" applyAlignment="1">
      <alignment horizontal="center" vertical="center"/>
    </xf>
    <xf numFmtId="0" fontId="48" fillId="20" borderId="59" xfId="0" applyFont="1" applyFill="1" applyBorder="1" applyAlignment="1">
      <alignment horizontal="center" vertical="center"/>
    </xf>
    <xf numFmtId="0" fontId="43" fillId="20" borderId="109" xfId="0" applyFont="1" applyFill="1" applyBorder="1"/>
    <xf numFmtId="0" fontId="43" fillId="20" borderId="55" xfId="0" applyFont="1" applyFill="1" applyBorder="1"/>
    <xf numFmtId="0" fontId="43" fillId="20" borderId="22" xfId="0" applyFont="1" applyFill="1" applyBorder="1"/>
    <xf numFmtId="0" fontId="43" fillId="20" borderId="103" xfId="0" applyFont="1" applyFill="1" applyBorder="1"/>
    <xf numFmtId="0" fontId="43" fillId="20" borderId="80" xfId="0" applyFont="1" applyFill="1" applyBorder="1"/>
    <xf numFmtId="0" fontId="43" fillId="20" borderId="106" xfId="0" applyFont="1" applyFill="1" applyBorder="1"/>
    <xf numFmtId="0" fontId="43" fillId="20" borderId="105" xfId="0" applyFont="1" applyFill="1" applyBorder="1"/>
    <xf numFmtId="4" fontId="50" fillId="22" borderId="49" xfId="2" applyNumberFormat="1" applyFont="1" applyFill="1" applyBorder="1" applyAlignment="1">
      <alignment horizontal="right" vertical="top" wrapText="1"/>
    </xf>
    <xf numFmtId="4" fontId="50" fillId="22" borderId="41" xfId="2" applyNumberFormat="1" applyFont="1" applyFill="1" applyBorder="1" applyAlignment="1">
      <alignment horizontal="right" vertical="top" wrapText="1"/>
    </xf>
    <xf numFmtId="4" fontId="50" fillId="22" borderId="50" xfId="2" applyNumberFormat="1" applyFont="1" applyFill="1" applyBorder="1" applyAlignment="1">
      <alignment horizontal="right" vertical="top" wrapText="1"/>
    </xf>
    <xf numFmtId="4" fontId="50" fillId="22" borderId="96" xfId="2" applyNumberFormat="1" applyFont="1" applyFill="1" applyBorder="1" applyAlignment="1">
      <alignment horizontal="right" vertical="top" wrapText="1"/>
    </xf>
    <xf numFmtId="4" fontId="50" fillId="22" borderId="89" xfId="2" applyNumberFormat="1" applyFont="1" applyFill="1" applyBorder="1" applyAlignment="1">
      <alignment horizontal="right" vertical="top" wrapText="1"/>
    </xf>
    <xf numFmtId="4" fontId="50" fillId="22" borderId="99" xfId="2" applyNumberFormat="1" applyFont="1" applyFill="1" applyBorder="1" applyAlignment="1">
      <alignment horizontal="right" vertical="top" wrapText="1"/>
    </xf>
    <xf numFmtId="4" fontId="50" fillId="22" borderId="97" xfId="2" applyNumberFormat="1" applyFont="1" applyFill="1" applyBorder="1" applyAlignment="1">
      <alignment horizontal="right" vertical="top" wrapText="1"/>
    </xf>
    <xf numFmtId="4" fontId="50" fillId="22" borderId="45" xfId="2" applyNumberFormat="1" applyFont="1" applyFill="1" applyBorder="1" applyAlignment="1">
      <alignment horizontal="right" vertical="top" wrapText="1"/>
    </xf>
    <xf numFmtId="4" fontId="50" fillId="22" borderId="44" xfId="2" applyNumberFormat="1" applyFont="1" applyFill="1" applyBorder="1" applyAlignment="1">
      <alignment horizontal="right" vertical="top" wrapText="1"/>
    </xf>
    <xf numFmtId="4" fontId="49" fillId="22" borderId="26" xfId="1" applyNumberFormat="1" applyFont="1" applyFill="1" applyBorder="1" applyAlignment="1">
      <alignment horizontal="right" vertical="top" wrapText="1"/>
    </xf>
    <xf numFmtId="4" fontId="50" fillId="22" borderId="43" xfId="2" applyNumberFormat="1" applyFont="1" applyFill="1" applyBorder="1" applyAlignment="1">
      <alignment horizontal="right" vertical="top" wrapText="1"/>
    </xf>
    <xf numFmtId="4" fontId="50" fillId="22" borderId="98" xfId="2" applyNumberFormat="1" applyFont="1" applyFill="1" applyBorder="1" applyAlignment="1">
      <alignment horizontal="right" vertical="top" wrapText="1"/>
    </xf>
    <xf numFmtId="4" fontId="50" fillId="22" borderId="42" xfId="2" applyNumberFormat="1" applyFont="1" applyFill="1" applyBorder="1" applyAlignment="1">
      <alignment horizontal="right" vertical="top" wrapText="1"/>
    </xf>
    <xf numFmtId="165" fontId="50" fillId="22" borderId="100" xfId="5" applyNumberFormat="1" applyFont="1" applyFill="1" applyBorder="1" applyAlignment="1">
      <alignment horizontal="right" vertical="top" wrapText="1"/>
    </xf>
    <xf numFmtId="165" fontId="50" fillId="22" borderId="101" xfId="5" applyNumberFormat="1" applyFont="1" applyFill="1" applyBorder="1" applyAlignment="1">
      <alignment horizontal="right" vertical="top" wrapText="1"/>
    </xf>
    <xf numFmtId="165" fontId="50" fillId="22" borderId="102" xfId="5" applyNumberFormat="1" applyFont="1" applyFill="1" applyBorder="1" applyAlignment="1">
      <alignment horizontal="right" vertical="top" wrapText="1"/>
    </xf>
    <xf numFmtId="165" fontId="50" fillId="22" borderId="46" xfId="5" applyNumberFormat="1" applyFont="1" applyFill="1" applyBorder="1" applyAlignment="1">
      <alignment horizontal="right" vertical="top" wrapText="1"/>
    </xf>
    <xf numFmtId="165" fontId="50" fillId="22" borderId="47" xfId="5" applyNumberFormat="1" applyFont="1" applyFill="1" applyBorder="1" applyAlignment="1">
      <alignment horizontal="right" vertical="top" wrapText="1"/>
    </xf>
    <xf numFmtId="0" fontId="0" fillId="16" borderId="0" xfId="0" applyFill="1" applyAlignment="1">
      <alignment horizontal="center" vertical="top" wrapText="1"/>
    </xf>
    <xf numFmtId="0" fontId="0" fillId="16" borderId="6" xfId="0" applyFill="1" applyBorder="1" applyAlignment="1">
      <alignment horizontal="center" vertical="top" wrapText="1"/>
    </xf>
    <xf numFmtId="0" fontId="0" fillId="16" borderId="24" xfId="0" applyFill="1" applyBorder="1" applyAlignment="1">
      <alignment horizontal="center" vertical="top" wrapText="1"/>
    </xf>
    <xf numFmtId="3" fontId="0" fillId="0" borderId="0" xfId="0" applyNumberFormat="1"/>
    <xf numFmtId="0" fontId="54" fillId="0" borderId="0" xfId="0" applyFont="1"/>
    <xf numFmtId="6" fontId="0" fillId="0" borderId="0" xfId="0" applyNumberFormat="1"/>
    <xf numFmtId="0" fontId="54" fillId="0" borderId="130" xfId="0" applyFont="1" applyBorder="1"/>
    <xf numFmtId="0" fontId="57" fillId="25" borderId="130" xfId="0" applyFont="1" applyFill="1" applyBorder="1" applyAlignment="1">
      <alignment horizontal="left" vertical="center"/>
    </xf>
    <xf numFmtId="0" fontId="59" fillId="0" borderId="0" xfId="0" applyFont="1"/>
    <xf numFmtId="0" fontId="54" fillId="22" borderId="130" xfId="0" applyFont="1" applyFill="1" applyBorder="1"/>
    <xf numFmtId="14" fontId="54" fillId="22" borderId="130" xfId="0" applyNumberFormat="1" applyFont="1" applyFill="1" applyBorder="1"/>
    <xf numFmtId="0" fontId="54" fillId="0" borderId="0" xfId="0" applyFont="1" applyAlignment="1">
      <alignment horizontal="right"/>
    </xf>
    <xf numFmtId="0" fontId="62" fillId="0" borderId="0" xfId="8" applyFont="1" applyAlignment="1">
      <alignment vertical="center"/>
    </xf>
    <xf numFmtId="2" fontId="62" fillId="0" borderId="0" xfId="8" applyNumberFormat="1" applyFont="1" applyAlignment="1">
      <alignment horizontal="right" vertical="center"/>
    </xf>
    <xf numFmtId="2" fontId="62" fillId="0" borderId="0" xfId="8" applyNumberFormat="1" applyFont="1" applyAlignment="1">
      <alignment horizontal="center" vertical="center"/>
    </xf>
    <xf numFmtId="0" fontId="62" fillId="0" borderId="0" xfId="8" applyFont="1" applyAlignment="1">
      <alignment horizontal="center" vertical="center"/>
    </xf>
    <xf numFmtId="0" fontId="62" fillId="0" borderId="0" xfId="8" applyFont="1" applyAlignment="1">
      <alignment horizontal="left" vertical="center"/>
    </xf>
    <xf numFmtId="0" fontId="63" fillId="0" borderId="131" xfId="8" applyFont="1" applyBorder="1" applyAlignment="1">
      <alignment horizontal="left" vertical="center"/>
    </xf>
    <xf numFmtId="0" fontId="63" fillId="0" borderId="131" xfId="8" applyFont="1" applyBorder="1" applyAlignment="1">
      <alignment horizontal="left" vertical="center" wrapText="1"/>
    </xf>
    <xf numFmtId="2" fontId="63" fillId="0" borderId="131" xfId="8" applyNumberFormat="1" applyFont="1" applyBorder="1" applyAlignment="1">
      <alignment horizontal="right" vertical="center" wrapText="1"/>
    </xf>
    <xf numFmtId="2" fontId="63" fillId="0" borderId="131" xfId="8" applyNumberFormat="1" applyFont="1" applyBorder="1" applyAlignment="1">
      <alignment horizontal="center" vertical="center" wrapText="1"/>
    </xf>
    <xf numFmtId="0" fontId="63" fillId="0" borderId="131" xfId="8" applyFont="1" applyBorder="1" applyAlignment="1">
      <alignment horizontal="center" vertical="center" wrapText="1"/>
    </xf>
    <xf numFmtId="0" fontId="63" fillId="26" borderId="131" xfId="8" applyFont="1" applyFill="1" applyBorder="1" applyAlignment="1">
      <alignment horizontal="left" vertical="center"/>
    </xf>
    <xf numFmtId="0" fontId="64" fillId="27" borderId="131" xfId="8" applyFont="1" applyFill="1" applyBorder="1" applyAlignment="1">
      <alignment horizontal="center" vertical="center" wrapText="1"/>
    </xf>
    <xf numFmtId="0" fontId="63" fillId="0" borderId="131" xfId="8" applyFont="1" applyBorder="1" applyAlignment="1">
      <alignment vertical="center"/>
    </xf>
    <xf numFmtId="0" fontId="63" fillId="26" borderId="131" xfId="8" applyFont="1" applyFill="1" applyBorder="1" applyAlignment="1">
      <alignment vertical="center"/>
    </xf>
    <xf numFmtId="0" fontId="63" fillId="0" borderId="131" xfId="8" applyFont="1" applyBorder="1" applyAlignment="1">
      <alignment vertical="center" wrapText="1"/>
    </xf>
    <xf numFmtId="0" fontId="62" fillId="0" borderId="131" xfId="8" applyFont="1" applyBorder="1" applyAlignment="1">
      <alignment vertical="center"/>
    </xf>
    <xf numFmtId="0" fontId="62" fillId="26" borderId="131" xfId="8" applyFont="1" applyFill="1" applyBorder="1" applyAlignment="1">
      <alignment vertical="center"/>
    </xf>
    <xf numFmtId="0" fontId="66" fillId="0" borderId="131" xfId="8" applyFont="1" applyBorder="1" applyAlignment="1">
      <alignment horizontal="left" vertical="center" wrapText="1"/>
    </xf>
    <xf numFmtId="0" fontId="67" fillId="0" borderId="131" xfId="8" applyFont="1" applyBorder="1" applyAlignment="1">
      <alignment horizontal="center" vertical="center" wrapText="1"/>
    </xf>
    <xf numFmtId="0" fontId="63" fillId="26" borderId="131" xfId="8" applyFont="1" applyFill="1" applyBorder="1" applyAlignment="1">
      <alignment horizontal="left" vertical="center" wrapText="1"/>
    </xf>
    <xf numFmtId="0" fontId="62" fillId="0" borderId="131" xfId="8" applyFont="1" applyBorder="1" applyAlignment="1">
      <alignment horizontal="left" vertical="center"/>
    </xf>
    <xf numFmtId="0" fontId="62" fillId="0" borderId="132" xfId="8" applyFont="1" applyBorder="1" applyAlignment="1">
      <alignment vertical="center"/>
    </xf>
    <xf numFmtId="0" fontId="63" fillId="0" borderId="132" xfId="8" applyFont="1" applyBorder="1" applyAlignment="1">
      <alignment vertical="center" wrapText="1"/>
    </xf>
    <xf numFmtId="0" fontId="63" fillId="0" borderId="0" xfId="8" applyFont="1" applyAlignment="1">
      <alignment vertical="center"/>
    </xf>
    <xf numFmtId="0" fontId="63" fillId="0" borderId="133" xfId="8" applyFont="1" applyBorder="1" applyAlignment="1">
      <alignment vertical="center" wrapText="1"/>
    </xf>
    <xf numFmtId="0" fontId="63" fillId="0" borderId="134" xfId="8" applyFont="1" applyBorder="1" applyAlignment="1">
      <alignment vertical="center" wrapText="1"/>
    </xf>
    <xf numFmtId="0" fontId="64" fillId="0" borderId="131" xfId="8" applyFont="1" applyBorder="1" applyAlignment="1">
      <alignment horizontal="center" vertical="center" wrapText="1"/>
    </xf>
    <xf numFmtId="0" fontId="63" fillId="0" borderId="135" xfId="8" applyFont="1" applyBorder="1" applyAlignment="1">
      <alignment vertical="center" wrapText="1"/>
    </xf>
    <xf numFmtId="0" fontId="63" fillId="0" borderId="136" xfId="8" applyFont="1" applyBorder="1" applyAlignment="1">
      <alignment vertical="center" wrapText="1"/>
    </xf>
    <xf numFmtId="0" fontId="68" fillId="0" borderId="0" xfId="8" applyFont="1" applyAlignment="1">
      <alignment horizontal="center" vertical="center"/>
    </xf>
    <xf numFmtId="0" fontId="64" fillId="26" borderId="131" xfId="8" applyFont="1" applyFill="1" applyBorder="1" applyAlignment="1">
      <alignment horizontal="center" vertical="center"/>
    </xf>
    <xf numFmtId="0" fontId="64" fillId="26" borderId="131" xfId="8" applyFont="1" applyFill="1" applyBorder="1" applyAlignment="1">
      <alignment horizontal="center" vertical="center" wrapText="1"/>
    </xf>
    <xf numFmtId="0" fontId="64" fillId="28" borderId="131" xfId="8" applyFont="1" applyFill="1" applyBorder="1" applyAlignment="1">
      <alignment horizontal="center" vertical="center" wrapText="1"/>
    </xf>
    <xf numFmtId="0" fontId="64" fillId="22" borderId="131" xfId="8" applyFont="1" applyFill="1" applyBorder="1" applyAlignment="1">
      <alignment horizontal="center" vertical="center" wrapText="1"/>
    </xf>
    <xf numFmtId="49" fontId="64" fillId="22" borderId="131" xfId="8" applyNumberFormat="1" applyFont="1" applyFill="1" applyBorder="1" applyAlignment="1">
      <alignment horizontal="center" vertical="center" wrapText="1"/>
    </xf>
    <xf numFmtId="0" fontId="64" fillId="29" borderId="131" xfId="8" applyFont="1" applyFill="1" applyBorder="1" applyAlignment="1">
      <alignment horizontal="center" vertical="center" wrapText="1"/>
    </xf>
    <xf numFmtId="0" fontId="62" fillId="0" borderId="0" xfId="8" applyFont="1" applyAlignment="1">
      <alignment vertical="center" wrapText="1"/>
    </xf>
    <xf numFmtId="0" fontId="61" fillId="0" borderId="0" xfId="8"/>
    <xf numFmtId="0" fontId="61" fillId="0" borderId="0" xfId="8" applyAlignment="1">
      <alignment wrapText="1"/>
    </xf>
    <xf numFmtId="0" fontId="62" fillId="0" borderId="0" xfId="8" applyFont="1"/>
    <xf numFmtId="1" fontId="62" fillId="22" borderId="130" xfId="8" applyNumberFormat="1" applyFont="1" applyFill="1" applyBorder="1"/>
    <xf numFmtId="0" fontId="62" fillId="22" borderId="130" xfId="8" applyFont="1" applyFill="1" applyBorder="1"/>
    <xf numFmtId="0" fontId="62" fillId="26" borderId="130" xfId="8" applyFont="1" applyFill="1" applyBorder="1"/>
    <xf numFmtId="170" fontId="62" fillId="26" borderId="130" xfId="8" applyNumberFormat="1" applyFont="1" applyFill="1" applyBorder="1"/>
    <xf numFmtId="170" fontId="62" fillId="22" borderId="130" xfId="8" applyNumberFormat="1" applyFont="1" applyFill="1" applyBorder="1"/>
    <xf numFmtId="0" fontId="61" fillId="0" borderId="130" xfId="8" applyBorder="1"/>
    <xf numFmtId="0" fontId="61" fillId="22" borderId="130" xfId="8" applyFill="1" applyBorder="1"/>
    <xf numFmtId="0" fontId="61" fillId="22" borderId="130" xfId="8" applyFill="1" applyBorder="1" applyAlignment="1">
      <alignment horizontal="center"/>
    </xf>
    <xf numFmtId="0" fontId="61" fillId="22" borderId="130" xfId="8" applyFill="1" applyBorder="1" applyAlignment="1">
      <alignment horizontal="left"/>
    </xf>
    <xf numFmtId="0" fontId="71" fillId="26" borderId="130" xfId="8" applyFont="1" applyFill="1" applyBorder="1" applyAlignment="1">
      <alignment vertical="top"/>
    </xf>
    <xf numFmtId="0" fontId="71" fillId="26" borderId="130" xfId="8" applyFont="1" applyFill="1" applyBorder="1" applyAlignment="1">
      <alignment horizontal="center" vertical="top"/>
    </xf>
    <xf numFmtId="0" fontId="71" fillId="26" borderId="130" xfId="8" applyFont="1" applyFill="1" applyBorder="1" applyAlignment="1">
      <alignment vertical="top" wrapText="1"/>
    </xf>
    <xf numFmtId="0" fontId="62" fillId="26" borderId="130" xfId="8" applyFont="1" applyFill="1" applyBorder="1" applyAlignment="1">
      <alignment wrapText="1"/>
    </xf>
    <xf numFmtId="1" fontId="61" fillId="22" borderId="130" xfId="8" applyNumberFormat="1" applyFill="1" applyBorder="1"/>
    <xf numFmtId="0" fontId="61" fillId="26" borderId="130" xfId="8" applyFill="1" applyBorder="1"/>
    <xf numFmtId="0" fontId="61" fillId="6" borderId="130" xfId="8" applyFill="1" applyBorder="1"/>
    <xf numFmtId="14" fontId="61" fillId="26" borderId="130" xfId="8" applyNumberFormat="1" applyFill="1" applyBorder="1"/>
    <xf numFmtId="1" fontId="61" fillId="0" borderId="0" xfId="8" applyNumberFormat="1"/>
    <xf numFmtId="0" fontId="70" fillId="30" borderId="130" xfId="8" applyFont="1" applyFill="1" applyBorder="1" applyAlignment="1">
      <alignment wrapText="1"/>
    </xf>
    <xf numFmtId="10" fontId="62" fillId="26" borderId="130" xfId="8" applyNumberFormat="1" applyFont="1" applyFill="1" applyBorder="1"/>
    <xf numFmtId="0" fontId="62" fillId="22" borderId="131" xfId="10" applyFont="1" applyFill="1" applyBorder="1" applyAlignment="1" applyProtection="1">
      <alignment vertical="center" wrapText="1"/>
      <protection locked="0"/>
    </xf>
    <xf numFmtId="10" fontId="54" fillId="22" borderId="131" xfId="0" applyNumberFormat="1" applyFont="1" applyFill="1" applyBorder="1"/>
    <xf numFmtId="0" fontId="54" fillId="15" borderId="131" xfId="0" applyFont="1" applyFill="1" applyBorder="1"/>
    <xf numFmtId="1" fontId="54" fillId="22" borderId="131" xfId="0" applyNumberFormat="1" applyFont="1" applyFill="1" applyBorder="1"/>
    <xf numFmtId="0" fontId="54" fillId="31" borderId="130" xfId="0" applyFont="1" applyFill="1" applyBorder="1" applyAlignment="1">
      <alignment vertical="center"/>
    </xf>
    <xf numFmtId="0" fontId="55" fillId="12" borderId="28" xfId="0" applyFont="1" applyFill="1" applyBorder="1" applyAlignment="1">
      <alignment horizontal="left" vertical="center"/>
    </xf>
    <xf numFmtId="0" fontId="55" fillId="12" borderId="130" xfId="0" applyFont="1" applyFill="1" applyBorder="1" applyAlignment="1">
      <alignment horizontal="left" vertical="center"/>
    </xf>
    <xf numFmtId="0" fontId="55" fillId="12" borderId="130" xfId="0" applyFont="1" applyFill="1" applyBorder="1" applyAlignment="1">
      <alignment horizontal="center" vertical="center"/>
    </xf>
    <xf numFmtId="44" fontId="56" fillId="18" borderId="130" xfId="7" applyFont="1" applyFill="1" applyBorder="1" applyAlignment="1" applyProtection="1">
      <alignment horizontal="center" vertical="center" wrapText="1"/>
    </xf>
    <xf numFmtId="1" fontId="59" fillId="31" borderId="0" xfId="0" applyNumberFormat="1" applyFont="1" applyFill="1"/>
    <xf numFmtId="1" fontId="59" fillId="6" borderId="0" xfId="0" applyNumberFormat="1" applyFont="1" applyFill="1"/>
    <xf numFmtId="42" fontId="59" fillId="31" borderId="0" xfId="0" applyNumberFormat="1" applyFont="1" applyFill="1"/>
    <xf numFmtId="44" fontId="59" fillId="0" borderId="0" xfId="0" applyNumberFormat="1" applyFont="1"/>
    <xf numFmtId="167" fontId="0" fillId="0" borderId="14" xfId="0" applyNumberFormat="1" applyBorder="1" applyAlignment="1">
      <alignment horizontal="center" vertical="center" wrapText="1"/>
    </xf>
    <xf numFmtId="167" fontId="0" fillId="0" borderId="23" xfId="0" applyNumberFormat="1" applyBorder="1" applyAlignment="1">
      <alignment horizontal="center" vertical="center" wrapText="1"/>
    </xf>
    <xf numFmtId="167" fontId="0" fillId="0" borderId="24" xfId="0" applyNumberFormat="1" applyBorder="1" applyAlignment="1">
      <alignment horizontal="center" vertical="center" wrapText="1"/>
    </xf>
    <xf numFmtId="167" fontId="0" fillId="0" borderId="0" xfId="0" applyNumberFormat="1" applyAlignment="1">
      <alignment horizontal="center" vertical="center" wrapText="1"/>
    </xf>
    <xf numFmtId="167" fontId="0" fillId="0" borderId="15" xfId="0" applyNumberFormat="1" applyBorder="1" applyAlignment="1">
      <alignment horizontal="center" vertical="center" wrapText="1"/>
    </xf>
    <xf numFmtId="167" fontId="0" fillId="0" borderId="26" xfId="0" applyNumberFormat="1" applyBorder="1" applyAlignment="1">
      <alignment horizontal="center" vertical="center" wrapText="1"/>
    </xf>
    <xf numFmtId="3" fontId="7" fillId="4" borderId="66" xfId="2" applyNumberFormat="1" applyBorder="1" applyAlignment="1">
      <alignment vertical="top" wrapText="1"/>
    </xf>
    <xf numFmtId="3" fontId="7" fillId="4" borderId="67" xfId="2" applyNumberFormat="1" applyBorder="1" applyAlignment="1">
      <alignment vertical="top" wrapText="1"/>
    </xf>
    <xf numFmtId="0" fontId="8" fillId="0" borderId="130" xfId="0" applyFont="1" applyBorder="1" applyAlignment="1">
      <alignment horizontal="center" vertical="center"/>
    </xf>
    <xf numFmtId="0" fontId="8" fillId="17" borderId="130" xfId="0" applyFont="1" applyFill="1" applyBorder="1"/>
    <xf numFmtId="42" fontId="8" fillId="17" borderId="130" xfId="5" applyNumberFormat="1" applyFont="1" applyFill="1" applyBorder="1" applyProtection="1"/>
    <xf numFmtId="0" fontId="8" fillId="0" borderId="130" xfId="0" applyFont="1" applyBorder="1"/>
    <xf numFmtId="0" fontId="8" fillId="20" borderId="130" xfId="0" applyFont="1" applyFill="1" applyBorder="1"/>
    <xf numFmtId="42" fontId="43" fillId="20" borderId="130" xfId="5" applyNumberFormat="1" applyFont="1" applyFill="1" applyBorder="1" applyProtection="1"/>
    <xf numFmtId="0" fontId="8" fillId="19" borderId="130" xfId="0" applyFont="1" applyFill="1" applyBorder="1"/>
    <xf numFmtId="0" fontId="0" fillId="19" borderId="130" xfId="0" applyFill="1" applyBorder="1"/>
    <xf numFmtId="42" fontId="47" fillId="20" borderId="130" xfId="5" applyNumberFormat="1" applyFont="1" applyFill="1" applyBorder="1" applyProtection="1"/>
    <xf numFmtId="42" fontId="46" fillId="17" borderId="130" xfId="5" applyNumberFormat="1" applyFont="1" applyFill="1" applyBorder="1" applyProtection="1"/>
    <xf numFmtId="42" fontId="29" fillId="0" borderId="130" xfId="5" applyNumberFormat="1" applyFont="1" applyFill="1" applyBorder="1" applyProtection="1"/>
    <xf numFmtId="42" fontId="47" fillId="0" borderId="130" xfId="5" applyNumberFormat="1" applyFont="1" applyFill="1" applyBorder="1" applyProtection="1"/>
    <xf numFmtId="0" fontId="0" fillId="0" borderId="130" xfId="0" applyBorder="1"/>
    <xf numFmtId="42" fontId="0" fillId="0" borderId="130" xfId="0" applyNumberFormat="1" applyBorder="1"/>
    <xf numFmtId="0" fontId="0" fillId="6" borderId="130" xfId="0" applyFill="1" applyBorder="1" applyAlignment="1">
      <alignment horizontal="center" vertical="top" wrapText="1"/>
    </xf>
    <xf numFmtId="0" fontId="30" fillId="17" borderId="130" xfId="0" applyFont="1" applyFill="1" applyBorder="1" applyAlignment="1">
      <alignment vertical="center"/>
    </xf>
    <xf numFmtId="165" fontId="29" fillId="0" borderId="130" xfId="5" applyNumberFormat="1" applyFont="1" applyFill="1" applyBorder="1" applyProtection="1"/>
    <xf numFmtId="165" fontId="47" fillId="0" borderId="130" xfId="5" applyNumberFormat="1" applyFont="1" applyFill="1" applyBorder="1" applyProtection="1"/>
    <xf numFmtId="42" fontId="47" fillId="18" borderId="130" xfId="5" applyNumberFormat="1" applyFont="1" applyFill="1" applyBorder="1" applyProtection="1"/>
    <xf numFmtId="42" fontId="47" fillId="18" borderId="130" xfId="5" applyNumberFormat="1" applyFont="1" applyFill="1" applyBorder="1" applyAlignment="1" applyProtection="1">
      <alignment horizontal="left"/>
    </xf>
    <xf numFmtId="42" fontId="47" fillId="26" borderId="130" xfId="5" applyNumberFormat="1" applyFont="1" applyFill="1" applyBorder="1" applyProtection="1"/>
    <xf numFmtId="42" fontId="47" fillId="26" borderId="130" xfId="5" applyNumberFormat="1" applyFont="1" applyFill="1" applyBorder="1" applyAlignment="1" applyProtection="1">
      <alignment horizontal="center"/>
    </xf>
    <xf numFmtId="42" fontId="47" fillId="24" borderId="130" xfId="5" applyNumberFormat="1" applyFont="1" applyFill="1" applyBorder="1" applyAlignment="1" applyProtection="1">
      <alignment horizontal="left"/>
    </xf>
    <xf numFmtId="42" fontId="47" fillId="24" borderId="130" xfId="5" applyNumberFormat="1" applyFont="1" applyFill="1" applyBorder="1" applyProtection="1"/>
    <xf numFmtId="0" fontId="57" fillId="25" borderId="139" xfId="0" applyFont="1" applyFill="1" applyBorder="1" applyAlignment="1">
      <alignment horizontal="center" wrapText="1"/>
    </xf>
    <xf numFmtId="0" fontId="57" fillId="25" borderId="130" xfId="0" applyFont="1" applyFill="1" applyBorder="1" applyAlignment="1">
      <alignment vertical="center" wrapText="1"/>
    </xf>
    <xf numFmtId="0" fontId="57" fillId="25" borderId="130" xfId="0" applyFont="1" applyFill="1" applyBorder="1" applyAlignment="1">
      <alignment horizontal="center" wrapText="1"/>
    </xf>
    <xf numFmtId="0" fontId="54" fillId="0" borderId="0" xfId="0" applyFont="1" applyAlignment="1">
      <alignment wrapText="1"/>
    </xf>
    <xf numFmtId="0" fontId="63" fillId="22" borderId="131" xfId="8" applyFont="1" applyFill="1" applyBorder="1" applyAlignment="1">
      <alignment horizontal="left" vertical="center" wrapText="1"/>
    </xf>
    <xf numFmtId="0" fontId="70" fillId="26" borderId="130" xfId="8" applyFont="1" applyFill="1" applyBorder="1" applyAlignment="1">
      <alignment horizontal="center" vertical="center"/>
    </xf>
    <xf numFmtId="1" fontId="54" fillId="22" borderId="130" xfId="0" applyNumberFormat="1" applyFont="1" applyFill="1" applyBorder="1"/>
    <xf numFmtId="42" fontId="54" fillId="22" borderId="130" xfId="0" applyNumberFormat="1" applyFont="1" applyFill="1" applyBorder="1" applyAlignment="1">
      <alignment horizontal="center"/>
    </xf>
    <xf numFmtId="42" fontId="54" fillId="22" borderId="130" xfId="0" applyNumberFormat="1" applyFont="1" applyFill="1" applyBorder="1"/>
    <xf numFmtId="1" fontId="55" fillId="32" borderId="130" xfId="0" applyNumberFormat="1" applyFont="1" applyFill="1" applyBorder="1" applyAlignment="1">
      <alignment horizontal="center" vertical="center"/>
    </xf>
    <xf numFmtId="169" fontId="55" fillId="32" borderId="130" xfId="0" applyNumberFormat="1" applyFont="1" applyFill="1" applyBorder="1" applyAlignment="1">
      <alignment horizontal="center" vertical="center"/>
    </xf>
    <xf numFmtId="2" fontId="55" fillId="32" borderId="130" xfId="0" applyNumberFormat="1" applyFont="1" applyFill="1" applyBorder="1" applyAlignment="1">
      <alignment horizontal="center" vertical="center"/>
    </xf>
    <xf numFmtId="0" fontId="55" fillId="32" borderId="130" xfId="0" applyFont="1" applyFill="1" applyBorder="1" applyAlignment="1">
      <alignment vertical="center" wrapText="1"/>
    </xf>
    <xf numFmtId="0" fontId="55" fillId="32" borderId="130" xfId="0" applyFont="1" applyFill="1" applyBorder="1" applyAlignment="1">
      <alignment horizontal="center" vertical="center" wrapText="1"/>
    </xf>
    <xf numFmtId="169" fontId="54" fillId="22" borderId="130" xfId="0" applyNumberFormat="1" applyFont="1" applyFill="1" applyBorder="1"/>
    <xf numFmtId="10" fontId="55" fillId="32" borderId="130" xfId="0" applyNumberFormat="1" applyFont="1" applyFill="1" applyBorder="1" applyAlignment="1">
      <alignment horizontal="center" vertical="center"/>
    </xf>
    <xf numFmtId="0" fontId="62" fillId="0" borderId="0" xfId="8" applyFont="1" applyAlignment="1">
      <alignment wrapText="1"/>
    </xf>
    <xf numFmtId="0" fontId="64" fillId="30" borderId="130" xfId="8" applyFont="1" applyFill="1" applyBorder="1" applyAlignment="1">
      <alignment vertical="center" wrapText="1"/>
    </xf>
    <xf numFmtId="0" fontId="64" fillId="30" borderId="130" xfId="8" applyFont="1" applyFill="1" applyBorder="1" applyAlignment="1">
      <alignment horizontal="center" vertical="center" wrapText="1"/>
    </xf>
    <xf numFmtId="0" fontId="0" fillId="0" borderId="8" xfId="0" applyBorder="1" applyAlignment="1">
      <alignment horizontal="center" vertical="top" wrapText="1"/>
    </xf>
    <xf numFmtId="0" fontId="0" fillId="0" borderId="74" xfId="0" applyBorder="1" applyAlignment="1">
      <alignment horizontal="center" vertical="top" wrapText="1"/>
    </xf>
    <xf numFmtId="0" fontId="0" fillId="0" borderId="9" xfId="0" applyBorder="1" applyAlignment="1">
      <alignment horizontal="center" vertical="top" wrapText="1"/>
    </xf>
    <xf numFmtId="1" fontId="60" fillId="22" borderId="130" xfId="0" applyNumberFormat="1" applyFont="1" applyFill="1" applyBorder="1" applyAlignment="1">
      <alignment horizontal="center" vertical="center"/>
    </xf>
    <xf numFmtId="169" fontId="60" fillId="22" borderId="130" xfId="0" applyNumberFormat="1" applyFont="1" applyFill="1" applyBorder="1" applyAlignment="1">
      <alignment horizontal="right" vertical="center"/>
    </xf>
    <xf numFmtId="0" fontId="57" fillId="25" borderId="139" xfId="0" applyFont="1" applyFill="1" applyBorder="1" applyAlignment="1">
      <alignment horizontal="center" vertical="center" wrapText="1"/>
    </xf>
    <xf numFmtId="0" fontId="57" fillId="25" borderId="139" xfId="0" applyFont="1" applyFill="1" applyBorder="1" applyAlignment="1">
      <alignment horizontal="left" vertical="center" wrapText="1"/>
    </xf>
    <xf numFmtId="169" fontId="62" fillId="22" borderId="131" xfId="10" applyNumberFormat="1" applyFont="1" applyFill="1" applyBorder="1" applyAlignment="1">
      <alignment vertical="center" wrapText="1"/>
    </xf>
    <xf numFmtId="1" fontId="59" fillId="0" borderId="0" xfId="0" applyNumberFormat="1" applyFont="1"/>
    <xf numFmtId="169" fontId="54" fillId="22" borderId="130" xfId="0" applyNumberFormat="1" applyFont="1" applyFill="1" applyBorder="1" applyAlignment="1">
      <alignment horizontal="center" vertical="center"/>
    </xf>
    <xf numFmtId="42" fontId="60" fillId="22" borderId="130" xfId="0" applyNumberFormat="1" applyFont="1" applyFill="1" applyBorder="1" applyAlignment="1">
      <alignment horizontal="center" vertical="center"/>
    </xf>
    <xf numFmtId="169" fontId="62" fillId="22" borderId="131" xfId="10" applyNumberFormat="1" applyFont="1" applyFill="1" applyBorder="1" applyAlignment="1" applyProtection="1">
      <alignment vertical="center" wrapText="1"/>
      <protection locked="0"/>
    </xf>
    <xf numFmtId="42" fontId="54" fillId="0" borderId="0" xfId="0" applyNumberFormat="1" applyFont="1"/>
    <xf numFmtId="1" fontId="62" fillId="26" borderId="130" xfId="8" applyNumberFormat="1" applyFont="1" applyFill="1" applyBorder="1"/>
    <xf numFmtId="1" fontId="68" fillId="22" borderId="0" xfId="8" applyNumberFormat="1" applyFont="1" applyFill="1"/>
    <xf numFmtId="0" fontId="76" fillId="0" borderId="0" xfId="0" applyFont="1" applyAlignment="1">
      <alignment wrapText="1"/>
    </xf>
    <xf numFmtId="0" fontId="75" fillId="33" borderId="135" xfId="0" applyFont="1" applyFill="1" applyBorder="1" applyAlignment="1">
      <alignment horizontal="center" vertical="center" wrapText="1"/>
    </xf>
    <xf numFmtId="0" fontId="75" fillId="33" borderId="135" xfId="0" applyFont="1" applyFill="1" applyBorder="1" applyAlignment="1">
      <alignment wrapText="1"/>
    </xf>
    <xf numFmtId="0" fontId="76" fillId="10" borderId="135" xfId="0" applyFont="1" applyFill="1" applyBorder="1"/>
    <xf numFmtId="42" fontId="76" fillId="22" borderId="135" xfId="0" applyNumberFormat="1" applyFont="1" applyFill="1" applyBorder="1"/>
    <xf numFmtId="9" fontId="76" fillId="22" borderId="135" xfId="0" applyNumberFormat="1" applyFont="1" applyFill="1" applyBorder="1"/>
    <xf numFmtId="169" fontId="76" fillId="22" borderId="135" xfId="0" applyNumberFormat="1" applyFont="1" applyFill="1" applyBorder="1"/>
    <xf numFmtId="0" fontId="76" fillId="0" borderId="0" xfId="0" applyFont="1"/>
    <xf numFmtId="169" fontId="76" fillId="10" borderId="135" xfId="0" applyNumberFormat="1" applyFont="1" applyFill="1" applyBorder="1" applyAlignment="1">
      <alignment vertical="center"/>
    </xf>
    <xf numFmtId="42" fontId="76" fillId="0" borderId="135" xfId="0" applyNumberFormat="1" applyFont="1" applyBorder="1"/>
    <xf numFmtId="0" fontId="76" fillId="0" borderId="135" xfId="0" applyFont="1" applyBorder="1"/>
    <xf numFmtId="0" fontId="77" fillId="15" borderId="22" xfId="0" applyFont="1" applyFill="1" applyBorder="1"/>
    <xf numFmtId="0" fontId="78" fillId="19" borderId="104" xfId="6" applyFont="1" applyFill="1" applyBorder="1" applyAlignment="1">
      <alignment vertical="center"/>
    </xf>
    <xf numFmtId="0" fontId="78" fillId="19" borderId="22" xfId="6" applyFont="1" applyFill="1" applyBorder="1" applyAlignment="1">
      <alignment vertical="center"/>
    </xf>
    <xf numFmtId="0" fontId="8" fillId="9" borderId="124" xfId="0" applyFont="1" applyFill="1" applyBorder="1"/>
    <xf numFmtId="0" fontId="0" fillId="34" borderId="104" xfId="0" applyFill="1" applyBorder="1"/>
    <xf numFmtId="0" fontId="0" fillId="6" borderId="104" xfId="0" applyFill="1" applyBorder="1"/>
    <xf numFmtId="0" fontId="0" fillId="6" borderId="22" xfId="0" applyFill="1" applyBorder="1"/>
    <xf numFmtId="0" fontId="0" fillId="35" borderId="22" xfId="0" applyFill="1" applyBorder="1"/>
    <xf numFmtId="0" fontId="0" fillId="30" borderId="22" xfId="0" applyFill="1" applyBorder="1"/>
    <xf numFmtId="0" fontId="0" fillId="36" borderId="22" xfId="0" applyFill="1" applyBorder="1"/>
    <xf numFmtId="0" fontId="0" fillId="34" borderId="22" xfId="0" applyFill="1" applyBorder="1"/>
    <xf numFmtId="0" fontId="57" fillId="25" borderId="130" xfId="0" applyFont="1" applyFill="1" applyBorder="1" applyAlignment="1">
      <alignment vertical="center"/>
    </xf>
    <xf numFmtId="0" fontId="63" fillId="26" borderId="131" xfId="8" applyFont="1" applyFill="1" applyBorder="1" applyAlignment="1">
      <alignment vertical="center" wrapText="1"/>
    </xf>
    <xf numFmtId="0" fontId="63" fillId="26" borderId="131" xfId="9" applyFont="1" applyFill="1" applyBorder="1" applyAlignment="1" applyProtection="1">
      <alignment horizontal="left" vertical="center" wrapText="1"/>
    </xf>
    <xf numFmtId="0" fontId="62" fillId="26" borderId="131" xfId="8" applyFont="1" applyFill="1" applyBorder="1" applyAlignment="1">
      <alignment horizontal="left" vertical="center" wrapText="1"/>
    </xf>
    <xf numFmtId="0" fontId="0" fillId="26" borderId="130" xfId="0" applyFill="1" applyBorder="1"/>
    <xf numFmtId="167" fontId="13" fillId="26" borderId="78" xfId="5" applyNumberFormat="1" applyFont="1" applyFill="1" applyBorder="1" applyAlignment="1" applyProtection="1">
      <alignment horizontal="center" vertical="center" wrapText="1"/>
    </xf>
    <xf numFmtId="167" fontId="13" fillId="26" borderId="51" xfId="5" applyNumberFormat="1" applyFont="1" applyFill="1" applyBorder="1" applyAlignment="1" applyProtection="1">
      <alignment horizontal="center" vertical="center" wrapText="1"/>
    </xf>
    <xf numFmtId="167" fontId="13" fillId="26" borderId="40" xfId="5" applyNumberFormat="1" applyFont="1" applyFill="1" applyBorder="1" applyAlignment="1" applyProtection="1">
      <alignment horizontal="center" vertical="center" wrapText="1"/>
    </xf>
    <xf numFmtId="167" fontId="13" fillId="26" borderId="17" xfId="5" applyNumberFormat="1" applyFont="1" applyFill="1" applyBorder="1" applyAlignment="1" applyProtection="1">
      <alignment horizontal="center" vertical="center" wrapText="1"/>
    </xf>
    <xf numFmtId="167" fontId="13" fillId="26" borderId="79" xfId="5" applyNumberFormat="1" applyFont="1" applyFill="1" applyBorder="1" applyAlignment="1" applyProtection="1">
      <alignment horizontal="center" vertical="center" wrapText="1"/>
    </xf>
    <xf numFmtId="167" fontId="13" fillId="26" borderId="52" xfId="5" applyNumberFormat="1" applyFont="1" applyFill="1" applyBorder="1" applyAlignment="1" applyProtection="1">
      <alignment horizontal="center" vertical="center" wrapText="1"/>
    </xf>
    <xf numFmtId="168" fontId="13" fillId="26" borderId="78" xfId="3" applyNumberFormat="1" applyFont="1" applyFill="1" applyBorder="1" applyAlignment="1" applyProtection="1">
      <alignment horizontal="center" vertical="center" wrapText="1"/>
    </xf>
    <xf numFmtId="168" fontId="13" fillId="26" borderId="51" xfId="3" applyNumberFormat="1" applyFont="1" applyFill="1" applyBorder="1" applyAlignment="1" applyProtection="1">
      <alignment horizontal="center" vertical="center" wrapText="1"/>
    </xf>
    <xf numFmtId="168" fontId="13" fillId="26" borderId="40" xfId="3" applyNumberFormat="1" applyFont="1" applyFill="1" applyBorder="1" applyAlignment="1" applyProtection="1">
      <alignment horizontal="center" vertical="center" wrapText="1"/>
    </xf>
    <xf numFmtId="168" fontId="13" fillId="26" borderId="17" xfId="3" applyNumberFormat="1" applyFont="1" applyFill="1" applyAlignment="1" applyProtection="1">
      <alignment horizontal="center" vertical="center" wrapText="1"/>
    </xf>
    <xf numFmtId="168" fontId="13" fillId="26" borderId="79" xfId="3" applyNumberFormat="1" applyFont="1" applyFill="1" applyBorder="1" applyAlignment="1" applyProtection="1">
      <alignment horizontal="center" vertical="center" wrapText="1"/>
    </xf>
    <xf numFmtId="168" fontId="13" fillId="26" borderId="52" xfId="3" applyNumberFormat="1" applyFont="1" applyFill="1" applyBorder="1" applyAlignment="1" applyProtection="1">
      <alignment horizontal="center" vertical="center" wrapText="1"/>
    </xf>
    <xf numFmtId="0" fontId="54" fillId="26" borderId="130" xfId="0" applyFont="1" applyFill="1" applyBorder="1"/>
    <xf numFmtId="10" fontId="54" fillId="26" borderId="130" xfId="0" applyNumberFormat="1" applyFont="1" applyFill="1" applyBorder="1"/>
    <xf numFmtId="9" fontId="54" fillId="26" borderId="130" xfId="0" applyNumberFormat="1" applyFont="1" applyFill="1" applyBorder="1"/>
    <xf numFmtId="169" fontId="62" fillId="26" borderId="131" xfId="10" applyNumberFormat="1" applyFont="1" applyFill="1" applyBorder="1" applyAlignment="1" applyProtection="1">
      <alignment horizontal="center" vertical="center"/>
      <protection locked="0"/>
    </xf>
    <xf numFmtId="1" fontId="54" fillId="26" borderId="130" xfId="0" applyNumberFormat="1" applyFont="1" applyFill="1" applyBorder="1"/>
    <xf numFmtId="1" fontId="62" fillId="26" borderId="131" xfId="10" applyNumberFormat="1" applyFont="1" applyFill="1" applyBorder="1" applyAlignment="1" applyProtection="1">
      <alignment horizontal="center" vertical="center" wrapText="1"/>
      <protection locked="0"/>
    </xf>
    <xf numFmtId="0" fontId="62" fillId="26" borderId="131" xfId="10" applyFont="1" applyFill="1" applyBorder="1" applyAlignment="1" applyProtection="1">
      <alignment vertical="center" wrapText="1"/>
      <protection locked="0"/>
    </xf>
    <xf numFmtId="0" fontId="54" fillId="26" borderId="130" xfId="0" applyFont="1" applyFill="1" applyBorder="1" applyAlignment="1">
      <alignment vertical="center"/>
    </xf>
    <xf numFmtId="0" fontId="54" fillId="26" borderId="130" xfId="3" applyFont="1" applyFill="1" applyBorder="1" applyAlignment="1">
      <alignment horizontal="center"/>
    </xf>
    <xf numFmtId="0" fontId="54" fillId="26" borderId="140" xfId="0" applyFont="1" applyFill="1" applyBorder="1" applyAlignment="1">
      <alignment horizontal="left" vertical="center"/>
    </xf>
    <xf numFmtId="0" fontId="54" fillId="26" borderId="130" xfId="0" applyFont="1" applyFill="1" applyBorder="1" applyAlignment="1">
      <alignment horizontal="left" vertical="center"/>
    </xf>
    <xf numFmtId="0" fontId="54" fillId="26" borderId="130" xfId="0" applyFont="1" applyFill="1" applyBorder="1" applyAlignment="1">
      <alignment horizontal="center" vertical="center"/>
    </xf>
    <xf numFmtId="8" fontId="54" fillId="26" borderId="130" xfId="7" applyNumberFormat="1" applyFont="1" applyFill="1" applyBorder="1" applyAlignment="1">
      <alignment horizontal="center" vertical="center"/>
    </xf>
    <xf numFmtId="0" fontId="54" fillId="26" borderId="141" xfId="0" applyFont="1" applyFill="1" applyBorder="1" applyAlignment="1">
      <alignment horizontal="left" vertical="center"/>
    </xf>
    <xf numFmtId="44" fontId="54" fillId="26" borderId="130" xfId="7" applyFont="1" applyFill="1" applyBorder="1" applyAlignment="1">
      <alignment horizontal="center" vertical="center"/>
    </xf>
    <xf numFmtId="44" fontId="54" fillId="26" borderId="130" xfId="7" applyFont="1" applyFill="1" applyBorder="1" applyAlignment="1">
      <alignment horizontal="left" vertical="center"/>
    </xf>
    <xf numFmtId="3" fontId="7" fillId="26" borderId="14" xfId="2" applyNumberFormat="1" applyFill="1" applyBorder="1" applyAlignment="1">
      <alignment horizontal="right" vertical="top" wrapText="1"/>
    </xf>
    <xf numFmtId="3" fontId="7" fillId="26" borderId="24" xfId="2" applyNumberFormat="1" applyFill="1" applyBorder="1" applyAlignment="1">
      <alignment horizontal="right" vertical="top" wrapText="1"/>
    </xf>
    <xf numFmtId="3" fontId="7" fillId="26" borderId="15" xfId="2" applyNumberFormat="1" applyFill="1" applyBorder="1" applyAlignment="1">
      <alignment horizontal="right" vertical="top" wrapText="1"/>
    </xf>
    <xf numFmtId="3" fontId="7" fillId="26" borderId="14" xfId="2" applyNumberFormat="1" applyFill="1" applyBorder="1" applyAlignment="1">
      <alignment vertical="top" wrapText="1"/>
    </xf>
    <xf numFmtId="3" fontId="7" fillId="26" borderId="24" xfId="2" applyNumberFormat="1" applyFill="1" applyBorder="1" applyAlignment="1">
      <alignment vertical="top" wrapText="1"/>
    </xf>
    <xf numFmtId="3" fontId="7" fillId="26" borderId="15" xfId="2" applyNumberFormat="1" applyFill="1" applyBorder="1" applyAlignment="1">
      <alignment vertical="top" wrapText="1"/>
    </xf>
    <xf numFmtId="0" fontId="0" fillId="22" borderId="22" xfId="0" applyFill="1" applyBorder="1" applyAlignment="1">
      <alignment horizontal="center" vertical="top" wrapText="1"/>
    </xf>
    <xf numFmtId="0" fontId="19" fillId="0" borderId="23" xfId="0" applyFont="1" applyBorder="1" applyAlignment="1">
      <alignment vertical="center" wrapText="1"/>
    </xf>
    <xf numFmtId="0" fontId="19" fillId="0" borderId="0" xfId="0" applyFont="1" applyAlignment="1">
      <alignment vertical="center" wrapText="1"/>
    </xf>
    <xf numFmtId="3" fontId="13" fillId="9" borderId="78" xfId="3" applyNumberFormat="1" applyFont="1" applyFill="1" applyBorder="1" applyAlignment="1">
      <alignment vertical="top" wrapText="1"/>
    </xf>
    <xf numFmtId="3" fontId="13" fillId="9" borderId="40" xfId="3" applyNumberFormat="1" applyFont="1" applyFill="1" applyBorder="1" applyAlignment="1">
      <alignment vertical="top" wrapText="1"/>
    </xf>
    <xf numFmtId="3" fontId="13" fillId="9" borderId="79" xfId="3" applyNumberFormat="1" applyFont="1" applyFill="1" applyBorder="1" applyAlignment="1">
      <alignment vertical="top" wrapText="1"/>
    </xf>
    <xf numFmtId="3" fontId="13" fillId="26" borderId="78" xfId="3" applyNumberFormat="1" applyFont="1" applyFill="1" applyBorder="1" applyAlignment="1">
      <alignment vertical="top" wrapText="1"/>
    </xf>
    <xf numFmtId="3" fontId="13" fillId="26" borderId="40" xfId="3" applyNumberFormat="1" applyFont="1" applyFill="1" applyBorder="1" applyAlignment="1">
      <alignment vertical="top" wrapText="1"/>
    </xf>
    <xf numFmtId="3" fontId="13" fillId="26" borderId="78" xfId="3" applyNumberFormat="1" applyFont="1" applyFill="1" applyBorder="1" applyAlignment="1">
      <alignment horizontal="right" vertical="top" wrapText="1"/>
    </xf>
    <xf numFmtId="3" fontId="13" fillId="26" borderId="40" xfId="3" applyNumberFormat="1" applyFont="1" applyFill="1" applyBorder="1" applyAlignment="1">
      <alignment horizontal="right" vertical="top" wrapText="1"/>
    </xf>
    <xf numFmtId="3" fontId="13" fillId="26" borderId="79" xfId="3" applyNumberFormat="1" applyFont="1" applyFill="1" applyBorder="1" applyAlignment="1">
      <alignment horizontal="right" vertical="top" wrapText="1"/>
    </xf>
    <xf numFmtId="3" fontId="13" fillId="26" borderId="79" xfId="3" applyNumberFormat="1" applyFont="1" applyFill="1" applyBorder="1" applyAlignment="1">
      <alignment vertical="top" wrapText="1"/>
    </xf>
    <xf numFmtId="3" fontId="13" fillId="9" borderId="142" xfId="3" applyNumberFormat="1" applyFont="1" applyFill="1" applyBorder="1" applyAlignment="1">
      <alignment horizontal="right" vertical="top" wrapText="1"/>
    </xf>
    <xf numFmtId="3" fontId="13" fillId="9" borderId="117" xfId="3" applyNumberFormat="1" applyFont="1" applyFill="1" applyBorder="1" applyAlignment="1">
      <alignment horizontal="right" vertical="top" wrapText="1"/>
    </xf>
    <xf numFmtId="3" fontId="13" fillId="9" borderId="40" xfId="3" applyNumberFormat="1" applyFont="1" applyFill="1" applyBorder="1" applyAlignment="1">
      <alignment horizontal="right" vertical="top" wrapText="1"/>
    </xf>
    <xf numFmtId="3" fontId="13" fillId="9" borderId="78" xfId="3" applyNumberFormat="1" applyFont="1" applyFill="1" applyBorder="1" applyAlignment="1">
      <alignment horizontal="right" vertical="top" wrapText="1"/>
    </xf>
    <xf numFmtId="3" fontId="13" fillId="9" borderId="94" xfId="3" applyNumberFormat="1" applyFont="1" applyFill="1" applyBorder="1" applyAlignment="1">
      <alignment horizontal="right" vertical="top" wrapText="1"/>
    </xf>
    <xf numFmtId="0" fontId="9" fillId="17" borderId="6" xfId="0" applyFont="1" applyFill="1" applyBorder="1" applyAlignment="1">
      <alignment horizontal="center" vertical="top" wrapText="1"/>
    </xf>
    <xf numFmtId="0" fontId="9" fillId="37" borderId="6" xfId="0" applyFont="1" applyFill="1" applyBorder="1" applyAlignment="1">
      <alignment horizontal="center" vertical="top" wrapText="1"/>
    </xf>
    <xf numFmtId="2" fontId="3" fillId="26" borderId="74" xfId="1" applyNumberFormat="1" applyFont="1" applyFill="1" applyBorder="1" applyAlignment="1">
      <alignment vertical="top" wrapText="1"/>
    </xf>
    <xf numFmtId="2" fontId="3" fillId="26" borderId="64" xfId="1" applyNumberFormat="1" applyFont="1" applyFill="1" applyBorder="1" applyAlignment="1">
      <alignment vertical="top" wrapText="1"/>
    </xf>
    <xf numFmtId="2" fontId="3" fillId="26" borderId="6" xfId="1" applyNumberFormat="1" applyFont="1" applyFill="1" applyBorder="1" applyAlignment="1">
      <alignment vertical="top" wrapText="1"/>
    </xf>
    <xf numFmtId="0" fontId="3" fillId="26" borderId="30" xfId="3" applyFont="1" applyFill="1" applyBorder="1" applyAlignment="1">
      <alignment vertical="top"/>
    </xf>
    <xf numFmtId="0" fontId="0" fillId="0" borderId="22" xfId="0" applyBorder="1"/>
    <xf numFmtId="0" fontId="81" fillId="19" borderId="22" xfId="6" applyFont="1" applyFill="1" applyBorder="1" applyAlignment="1">
      <alignment vertical="center"/>
    </xf>
    <xf numFmtId="171" fontId="62" fillId="26" borderId="131" xfId="10" applyNumberFormat="1" applyFont="1" applyFill="1" applyBorder="1" applyAlignment="1" applyProtection="1">
      <alignment horizontal="center" vertical="center"/>
      <protection locked="0"/>
    </xf>
    <xf numFmtId="171" fontId="62" fillId="26" borderId="131" xfId="10" applyNumberFormat="1" applyFont="1" applyFill="1" applyBorder="1" applyAlignment="1" applyProtection="1">
      <alignment horizontal="center" vertical="center" wrapText="1"/>
      <protection locked="0"/>
    </xf>
    <xf numFmtId="0" fontId="59" fillId="0" borderId="0" xfId="0" applyFont="1" applyAlignment="1">
      <alignment horizontal="center" vertical="center"/>
    </xf>
    <xf numFmtId="171" fontId="62" fillId="22" borderId="131" xfId="10" applyNumberFormat="1" applyFont="1" applyFill="1" applyBorder="1" applyAlignment="1" applyProtection="1">
      <alignment horizontal="center" vertical="center"/>
      <protection locked="0"/>
    </xf>
    <xf numFmtId="9" fontId="54" fillId="0" borderId="130" xfId="0" applyNumberFormat="1" applyFont="1" applyBorder="1"/>
    <xf numFmtId="1" fontId="54" fillId="0" borderId="130" xfId="0" applyNumberFormat="1" applyFont="1" applyBorder="1"/>
    <xf numFmtId="42" fontId="54" fillId="0" borderId="130" xfId="0" applyNumberFormat="1" applyFont="1" applyBorder="1" applyAlignment="1">
      <alignment horizontal="center"/>
    </xf>
    <xf numFmtId="0" fontId="61" fillId="30" borderId="130" xfId="8" applyFill="1" applyBorder="1" applyAlignment="1">
      <alignment horizontal="center" vertical="center"/>
    </xf>
    <xf numFmtId="0" fontId="71" fillId="30" borderId="130" xfId="8" applyFont="1" applyFill="1" applyBorder="1" applyAlignment="1">
      <alignment horizontal="left" vertical="center" wrapText="1"/>
    </xf>
    <xf numFmtId="0" fontId="71" fillId="13" borderId="130" xfId="8" applyFont="1" applyFill="1" applyBorder="1" applyAlignment="1">
      <alignment horizontal="center" vertical="center"/>
    </xf>
    <xf numFmtId="0" fontId="72" fillId="26" borderId="130" xfId="8" applyFont="1" applyFill="1" applyBorder="1" applyAlignment="1">
      <alignment horizontal="center" vertical="center"/>
    </xf>
    <xf numFmtId="0" fontId="72" fillId="22" borderId="130" xfId="8" applyFont="1" applyFill="1" applyBorder="1" applyAlignment="1">
      <alignment horizontal="center" vertical="center"/>
    </xf>
    <xf numFmtId="0" fontId="61" fillId="22" borderId="0" xfId="8" applyFill="1"/>
    <xf numFmtId="0" fontId="61" fillId="30" borderId="0" xfId="8" applyFill="1"/>
    <xf numFmtId="0" fontId="61" fillId="30" borderId="130" xfId="8" applyFill="1" applyBorder="1" applyAlignment="1">
      <alignment horizontal="center" vertical="top"/>
    </xf>
    <xf numFmtId="0" fontId="71" fillId="30" borderId="130" xfId="8" applyFont="1" applyFill="1" applyBorder="1" applyAlignment="1">
      <alignment vertical="top" wrapText="1"/>
    </xf>
    <xf numFmtId="0" fontId="70" fillId="22" borderId="64" xfId="8" applyFont="1" applyFill="1" applyBorder="1"/>
    <xf numFmtId="0" fontId="70" fillId="22" borderId="0" xfId="8" applyFont="1" applyFill="1"/>
    <xf numFmtId="0" fontId="61" fillId="30" borderId="147" xfId="8" applyFill="1" applyBorder="1" applyAlignment="1">
      <alignment horizontal="center" vertical="center"/>
    </xf>
    <xf numFmtId="0" fontId="71" fillId="13" borderId="130" xfId="8" applyFont="1" applyFill="1" applyBorder="1" applyAlignment="1">
      <alignment horizontal="left" vertical="top" wrapText="1"/>
    </xf>
    <xf numFmtId="0" fontId="62" fillId="0" borderId="0" xfId="0" applyFont="1" applyAlignment="1">
      <alignment horizontal="left" vertical="top" wrapText="1"/>
    </xf>
    <xf numFmtId="0" fontId="70" fillId="30" borderId="143" xfId="8" applyFont="1" applyFill="1" applyBorder="1" applyAlignment="1">
      <alignment horizontal="left" vertical="top" wrapText="1"/>
    </xf>
    <xf numFmtId="0" fontId="70" fillId="30" borderId="139" xfId="8" applyFont="1" applyFill="1" applyBorder="1" applyAlignment="1">
      <alignment horizontal="left" vertical="top" wrapText="1"/>
    </xf>
    <xf numFmtId="0" fontId="70" fillId="30" borderId="143" xfId="8" applyFont="1" applyFill="1" applyBorder="1" applyAlignment="1">
      <alignment vertical="top" wrapText="1"/>
    </xf>
    <xf numFmtId="0" fontId="70" fillId="30" borderId="144" xfId="8" applyFont="1" applyFill="1" applyBorder="1" applyAlignment="1">
      <alignment vertical="top" wrapText="1"/>
    </xf>
    <xf numFmtId="0" fontId="70" fillId="0" borderId="0" xfId="8" applyFont="1"/>
    <xf numFmtId="9" fontId="76" fillId="15" borderId="135" xfId="0" applyNumberFormat="1" applyFont="1" applyFill="1" applyBorder="1"/>
    <xf numFmtId="2" fontId="54" fillId="26" borderId="130" xfId="0" applyNumberFormat="1" applyFont="1" applyFill="1" applyBorder="1"/>
    <xf numFmtId="169" fontId="62" fillId="26" borderId="131" xfId="10" applyNumberFormat="1" applyFont="1" applyFill="1" applyBorder="1" applyAlignment="1" applyProtection="1">
      <alignment horizontal="left" vertical="center"/>
      <protection locked="0"/>
    </xf>
    <xf numFmtId="10" fontId="59" fillId="31" borderId="0" xfId="0" applyNumberFormat="1" applyFont="1" applyFill="1"/>
    <xf numFmtId="42" fontId="76" fillId="15" borderId="135" xfId="0" applyNumberFormat="1" applyFont="1" applyFill="1" applyBorder="1"/>
    <xf numFmtId="169" fontId="84" fillId="0" borderId="135" xfId="0" applyNumberFormat="1" applyFont="1" applyBorder="1"/>
    <xf numFmtId="0" fontId="62" fillId="0" borderId="0" xfId="10" applyFont="1" applyAlignment="1" applyProtection="1">
      <alignment vertical="center" wrapText="1"/>
      <protection locked="0"/>
    </xf>
    <xf numFmtId="0" fontId="85" fillId="0" borderId="0" xfId="0" applyFont="1"/>
    <xf numFmtId="0" fontId="85" fillId="0" borderId="0" xfId="0" applyFont="1" applyAlignment="1">
      <alignment vertical="center"/>
    </xf>
    <xf numFmtId="0" fontId="85" fillId="0" borderId="0" xfId="0" applyFont="1" applyAlignment="1">
      <alignment horizontal="left" vertical="center"/>
    </xf>
    <xf numFmtId="0" fontId="85" fillId="0" borderId="0" xfId="0" applyFont="1" applyAlignment="1">
      <alignment horizontal="right" vertical="center" wrapText="1"/>
    </xf>
    <xf numFmtId="0" fontId="85" fillId="0" borderId="0" xfId="0" applyFont="1" applyAlignment="1">
      <alignment horizontal="right" wrapText="1"/>
    </xf>
    <xf numFmtId="0" fontId="59" fillId="31" borderId="0" xfId="0" applyFont="1" applyFill="1" applyAlignment="1">
      <alignment wrapText="1"/>
    </xf>
    <xf numFmtId="0" fontId="59" fillId="31" borderId="148" xfId="0" applyFont="1" applyFill="1" applyBorder="1" applyAlignment="1">
      <alignment wrapText="1"/>
    </xf>
    <xf numFmtId="0" fontId="59" fillId="26" borderId="0" xfId="0" applyFont="1" applyFill="1" applyAlignment="1">
      <alignment vertical="center"/>
    </xf>
    <xf numFmtId="10" fontId="59" fillId="26" borderId="148" xfId="0" applyNumberFormat="1" applyFont="1" applyFill="1" applyBorder="1" applyAlignment="1">
      <alignment vertical="center"/>
    </xf>
    <xf numFmtId="170" fontId="54" fillId="22" borderId="130" xfId="0" applyNumberFormat="1" applyFont="1" applyFill="1" applyBorder="1" applyAlignment="1">
      <alignment horizontal="center"/>
    </xf>
    <xf numFmtId="2" fontId="60" fillId="22" borderId="130" xfId="0" applyNumberFormat="1" applyFont="1" applyFill="1" applyBorder="1" applyAlignment="1">
      <alignment horizontal="center" vertical="center"/>
    </xf>
    <xf numFmtId="2" fontId="62" fillId="22" borderId="130" xfId="8" applyNumberFormat="1" applyFont="1" applyFill="1" applyBorder="1"/>
    <xf numFmtId="169" fontId="62" fillId="22" borderId="131" xfId="10" applyNumberFormat="1" applyFont="1" applyFill="1" applyBorder="1" applyAlignment="1" applyProtection="1">
      <alignment horizontal="left" vertical="center"/>
      <protection locked="0"/>
    </xf>
    <xf numFmtId="0" fontId="86" fillId="0" borderId="0" xfId="0" applyFont="1"/>
    <xf numFmtId="0" fontId="63" fillId="23" borderId="131" xfId="8" applyFont="1" applyFill="1" applyBorder="1" applyAlignment="1">
      <alignment horizontal="center" vertical="center" wrapText="1"/>
    </xf>
    <xf numFmtId="2" fontId="63" fillId="23" borderId="131" xfId="8" applyNumberFormat="1" applyFont="1" applyFill="1" applyBorder="1" applyAlignment="1">
      <alignment horizontal="center" vertical="center" wrapText="1"/>
    </xf>
    <xf numFmtId="2" fontId="63" fillId="23" borderId="131" xfId="8" applyNumberFormat="1" applyFont="1" applyFill="1" applyBorder="1" applyAlignment="1">
      <alignment horizontal="right" vertical="center" wrapText="1"/>
    </xf>
    <xf numFmtId="0" fontId="89" fillId="0" borderId="0" xfId="0" applyFont="1"/>
    <xf numFmtId="169" fontId="76" fillId="10" borderId="135" xfId="0" applyNumberFormat="1" applyFont="1" applyFill="1" applyBorder="1" applyAlignment="1">
      <alignment horizontal="center" vertical="center"/>
    </xf>
    <xf numFmtId="169" fontId="76" fillId="10" borderId="151" xfId="0" applyNumberFormat="1" applyFont="1" applyFill="1" applyBorder="1" applyAlignment="1">
      <alignment horizontal="center" vertical="center"/>
    </xf>
    <xf numFmtId="0" fontId="62" fillId="0" borderId="131" xfId="8" applyFont="1" applyBorder="1" applyAlignment="1">
      <alignment horizontal="center" vertical="center"/>
    </xf>
    <xf numFmtId="0" fontId="63" fillId="0" borderId="131" xfId="8" applyFont="1" applyBorder="1" applyAlignment="1">
      <alignment horizontal="center" vertical="center"/>
    </xf>
    <xf numFmtId="0" fontId="0" fillId="6" borderId="5" xfId="0" applyFill="1" applyBorder="1" applyAlignment="1">
      <alignment horizontal="left" vertical="top" wrapText="1"/>
    </xf>
    <xf numFmtId="4" fontId="7" fillId="4" borderId="161" xfId="2" applyNumberFormat="1" applyBorder="1" applyAlignment="1">
      <alignment horizontal="right" vertical="top" wrapText="1"/>
    </xf>
    <xf numFmtId="0" fontId="0" fillId="6" borderId="26" xfId="0" applyFill="1" applyBorder="1" applyAlignment="1">
      <alignment horizontal="left" vertical="top" wrapText="1"/>
    </xf>
    <xf numFmtId="0" fontId="9" fillId="7" borderId="29" xfId="0" applyFont="1" applyFill="1" applyBorder="1" applyAlignment="1">
      <alignment horizontal="left" vertical="top" wrapText="1"/>
    </xf>
    <xf numFmtId="0" fontId="0" fillId="6" borderId="14" xfId="0" applyFill="1" applyBorder="1" applyAlignment="1">
      <alignment horizontal="left" vertical="top" wrapText="1"/>
    </xf>
    <xf numFmtId="0" fontId="0" fillId="6" borderId="13" xfId="0" applyFill="1" applyBorder="1" applyAlignment="1">
      <alignment horizontal="left" vertical="top" wrapText="1"/>
    </xf>
    <xf numFmtId="0" fontId="0" fillId="6" borderId="15" xfId="0" applyFill="1" applyBorder="1" applyAlignment="1">
      <alignment horizontal="left" vertical="top" wrapText="1"/>
    </xf>
    <xf numFmtId="4" fontId="50" fillId="22" borderId="162" xfId="2" applyNumberFormat="1" applyFont="1" applyFill="1" applyBorder="1" applyAlignment="1">
      <alignment horizontal="right" vertical="top" wrapText="1"/>
    </xf>
    <xf numFmtId="4" fontId="50" fillId="22" borderId="163" xfId="2" applyNumberFormat="1" applyFont="1" applyFill="1" applyBorder="1" applyAlignment="1">
      <alignment horizontal="right" vertical="top" wrapText="1"/>
    </xf>
    <xf numFmtId="4" fontId="50" fillId="22" borderId="164" xfId="2" applyNumberFormat="1" applyFont="1" applyFill="1" applyBorder="1" applyAlignment="1">
      <alignment horizontal="right" vertical="top" wrapText="1"/>
    </xf>
    <xf numFmtId="0" fontId="9" fillId="7" borderId="28" xfId="0" applyFont="1" applyFill="1" applyBorder="1" applyAlignment="1">
      <alignment horizontal="left" vertical="top" wrapText="1"/>
    </xf>
    <xf numFmtId="0" fontId="75" fillId="33" borderId="136" xfId="0" applyFont="1" applyFill="1" applyBorder="1" applyAlignment="1">
      <alignment horizontal="center" wrapText="1"/>
    </xf>
    <xf numFmtId="0" fontId="54" fillId="31" borderId="0" xfId="0" applyFont="1" applyFill="1"/>
    <xf numFmtId="0" fontId="76" fillId="10" borderId="136" xfId="0" applyFont="1" applyFill="1" applyBorder="1"/>
    <xf numFmtId="169" fontId="76" fillId="10" borderId="135" xfId="0" applyNumberFormat="1" applyFont="1" applyFill="1" applyBorder="1" applyAlignment="1">
      <alignment horizontal="left" vertical="center"/>
    </xf>
    <xf numFmtId="170" fontId="62" fillId="26" borderId="130" xfId="8" applyNumberFormat="1" applyFont="1" applyFill="1" applyBorder="1" applyAlignment="1">
      <alignment wrapText="1"/>
    </xf>
    <xf numFmtId="0" fontId="54" fillId="26" borderId="130" xfId="0" applyFont="1" applyFill="1" applyBorder="1" applyAlignment="1">
      <alignment horizontal="left" vertical="center" wrapText="1"/>
    </xf>
    <xf numFmtId="44" fontId="54" fillId="26" borderId="130" xfId="7" applyFont="1" applyFill="1" applyBorder="1" applyAlignment="1">
      <alignment horizontal="left" vertical="center" wrapText="1"/>
    </xf>
    <xf numFmtId="44" fontId="13" fillId="9" borderId="78" xfId="3" applyNumberFormat="1" applyFont="1" applyFill="1" applyBorder="1" applyAlignment="1">
      <alignment vertical="top" wrapText="1"/>
    </xf>
    <xf numFmtId="44" fontId="13" fillId="9" borderId="40" xfId="3" applyNumberFormat="1" applyFont="1" applyFill="1" applyBorder="1" applyAlignment="1">
      <alignment vertical="top" wrapText="1"/>
    </xf>
    <xf numFmtId="169" fontId="54" fillId="0" borderId="0" xfId="0" applyNumberFormat="1" applyFont="1"/>
    <xf numFmtId="3" fontId="54" fillId="0" borderId="0" xfId="0" applyNumberFormat="1" applyFont="1"/>
    <xf numFmtId="3" fontId="26" fillId="0" borderId="0" xfId="0" applyNumberFormat="1" applyFont="1" applyAlignment="1">
      <alignment horizontal="center"/>
    </xf>
    <xf numFmtId="3" fontId="86" fillId="0" borderId="0" xfId="0" applyNumberFormat="1" applyFont="1"/>
    <xf numFmtId="0" fontId="82" fillId="0" borderId="0" xfId="0" applyFont="1" applyAlignment="1">
      <alignment horizontal="center" wrapText="1"/>
    </xf>
    <xf numFmtId="0" fontId="83" fillId="0" borderId="0" xfId="0" applyFont="1" applyAlignment="1">
      <alignment horizontal="center" wrapText="1"/>
    </xf>
    <xf numFmtId="0" fontId="15" fillId="8" borderId="57" xfId="0" applyFont="1" applyFill="1" applyBorder="1" applyAlignment="1">
      <alignment horizontal="right" vertical="center" wrapText="1"/>
    </xf>
    <xf numFmtId="0" fontId="15" fillId="8" borderId="33" xfId="0" applyFont="1" applyFill="1" applyBorder="1" applyAlignment="1">
      <alignment horizontal="right" vertical="center" wrapText="1"/>
    </xf>
    <xf numFmtId="0" fontId="15" fillId="15" borderId="22" xfId="0" applyFont="1" applyFill="1" applyBorder="1" applyAlignment="1">
      <alignment horizontal="left" vertical="center" wrapText="1"/>
    </xf>
    <xf numFmtId="0" fontId="15" fillId="15" borderId="37" xfId="0" applyFont="1" applyFill="1" applyBorder="1" applyAlignment="1">
      <alignment horizontal="left" vertical="center" wrapText="1"/>
    </xf>
    <xf numFmtId="0" fontId="15" fillId="8" borderId="53" xfId="0" applyFont="1" applyFill="1" applyBorder="1" applyAlignment="1">
      <alignment horizontal="right" vertical="center" wrapText="1"/>
    </xf>
    <xf numFmtId="0" fontId="15" fillId="8" borderId="54" xfId="0" applyFont="1" applyFill="1" applyBorder="1" applyAlignment="1">
      <alignment horizontal="right" vertical="center" wrapText="1"/>
    </xf>
    <xf numFmtId="0" fontId="16" fillId="15" borderId="55" xfId="0" applyFont="1" applyFill="1" applyBorder="1" applyAlignment="1">
      <alignment horizontal="left" vertical="center" wrapText="1"/>
    </xf>
    <xf numFmtId="0" fontId="16" fillId="15" borderId="56" xfId="0" applyFont="1" applyFill="1" applyBorder="1" applyAlignment="1">
      <alignment horizontal="left" vertical="center" wrapText="1"/>
    </xf>
    <xf numFmtId="0" fontId="45" fillId="15" borderId="22" xfId="6" applyFill="1" applyBorder="1" applyAlignment="1">
      <alignment horizontal="left" vertical="center" wrapText="1"/>
    </xf>
    <xf numFmtId="0" fontId="19" fillId="9" borderId="156" xfId="0" applyFont="1" applyFill="1" applyBorder="1" applyAlignment="1">
      <alignment horizontal="center" vertical="center" wrapText="1"/>
    </xf>
    <xf numFmtId="0" fontId="19" fillId="9" borderId="157" xfId="0" applyFont="1" applyFill="1" applyBorder="1" applyAlignment="1">
      <alignment horizontal="center" vertical="center" wrapText="1"/>
    </xf>
    <xf numFmtId="0" fontId="19" fillId="9" borderId="158" xfId="0" applyFont="1" applyFill="1" applyBorder="1" applyAlignment="1">
      <alignment horizontal="center" vertical="center" wrapText="1"/>
    </xf>
    <xf numFmtId="0" fontId="19" fillId="9" borderId="159" xfId="0" applyFont="1" applyFill="1" applyBorder="1" applyAlignment="1">
      <alignment horizontal="center" vertical="center" wrapText="1"/>
    </xf>
    <xf numFmtId="0" fontId="20" fillId="26" borderId="51" xfId="3" applyFont="1" applyFill="1" applyBorder="1" applyAlignment="1">
      <alignment horizontal="center" vertical="center" wrapText="1"/>
    </xf>
    <xf numFmtId="0" fontId="20" fillId="26" borderId="52" xfId="3" applyFont="1" applyFill="1" applyBorder="1" applyAlignment="1">
      <alignment horizontal="center" vertical="center" wrapText="1"/>
    </xf>
    <xf numFmtId="0" fontId="22" fillId="3" borderId="62" xfId="1" applyFont="1" applyBorder="1" applyAlignment="1">
      <alignment horizontal="center" vertical="center" wrapText="1"/>
    </xf>
    <xf numFmtId="0" fontId="22" fillId="3" borderId="63" xfId="1" applyFont="1" applyBorder="1" applyAlignment="1">
      <alignment horizontal="center" vertical="center" wrapText="1"/>
    </xf>
    <xf numFmtId="0" fontId="17" fillId="15" borderId="22" xfId="0" applyFont="1" applyFill="1" applyBorder="1" applyAlignment="1">
      <alignment horizontal="left" vertical="center" wrapText="1"/>
    </xf>
    <xf numFmtId="0" fontId="17" fillId="15" borderId="37" xfId="0" applyFont="1" applyFill="1" applyBorder="1" applyAlignment="1">
      <alignment horizontal="left" vertical="center" wrapText="1"/>
    </xf>
    <xf numFmtId="0" fontId="15" fillId="8" borderId="58" xfId="0" applyFont="1" applyFill="1" applyBorder="1" applyAlignment="1">
      <alignment horizontal="right" vertical="center" wrapText="1"/>
    </xf>
    <xf numFmtId="0" fontId="15" fillId="8" borderId="59" xfId="0" applyFont="1" applyFill="1" applyBorder="1" applyAlignment="1">
      <alignment horizontal="right" vertical="center" wrapText="1"/>
    </xf>
    <xf numFmtId="0" fontId="17" fillId="15" borderId="60" xfId="0" applyFont="1" applyFill="1" applyBorder="1" applyAlignment="1">
      <alignment horizontal="left" vertical="center" wrapText="1"/>
    </xf>
    <xf numFmtId="0" fontId="17" fillId="15" borderId="60" xfId="0" applyFont="1" applyFill="1" applyBorder="1" applyAlignment="1">
      <alignment horizontal="left" vertical="center"/>
    </xf>
    <xf numFmtId="0" fontId="17" fillId="15" borderId="61" xfId="0" applyFont="1" applyFill="1" applyBorder="1" applyAlignment="1">
      <alignment horizontal="left" vertical="center"/>
    </xf>
    <xf numFmtId="0" fontId="18" fillId="0" borderId="0" xfId="0" applyFont="1" applyAlignment="1">
      <alignment horizontal="center"/>
    </xf>
    <xf numFmtId="0" fontId="19" fillId="8" borderId="14" xfId="0" applyFont="1" applyFill="1" applyBorder="1" applyAlignment="1">
      <alignment horizontal="center" vertical="center" wrapText="1"/>
    </xf>
    <xf numFmtId="0" fontId="19" fillId="8" borderId="13" xfId="0" applyFont="1" applyFill="1" applyBorder="1" applyAlignment="1">
      <alignment horizontal="center" vertical="center" wrapText="1"/>
    </xf>
    <xf numFmtId="0" fontId="19" fillId="8" borderId="15" xfId="0" applyFont="1" applyFill="1" applyBorder="1" applyAlignment="1">
      <alignment horizontal="center" vertical="center" wrapText="1"/>
    </xf>
    <xf numFmtId="0" fontId="19" fillId="8" borderId="5" xfId="0" applyFont="1" applyFill="1" applyBorder="1" applyAlignment="1">
      <alignment horizontal="center" vertical="center" wrapText="1"/>
    </xf>
    <xf numFmtId="0" fontId="19" fillId="0" borderId="23" xfId="0" applyFont="1" applyBorder="1" applyAlignment="1">
      <alignment horizontal="center" vertical="center" wrapText="1"/>
    </xf>
    <xf numFmtId="0" fontId="19" fillId="0" borderId="0" xfId="0" applyFont="1" applyAlignment="1">
      <alignment horizontal="center" vertical="center" wrapText="1"/>
    </xf>
    <xf numFmtId="0" fontId="21" fillId="4" borderId="50" xfId="2" applyFont="1" applyBorder="1" applyAlignment="1">
      <alignment horizontal="center" vertical="center" wrapText="1"/>
    </xf>
    <xf numFmtId="0" fontId="21" fillId="4" borderId="43" xfId="2" applyFont="1" applyBorder="1" applyAlignment="1">
      <alignment horizontal="center" vertical="center" wrapText="1"/>
    </xf>
    <xf numFmtId="0" fontId="8" fillId="0" borderId="130" xfId="0" applyFont="1" applyBorder="1" applyAlignment="1">
      <alignment horizontal="center"/>
    </xf>
    <xf numFmtId="0" fontId="75" fillId="33" borderId="160" xfId="0" applyFont="1" applyFill="1" applyBorder="1" applyAlignment="1">
      <alignment horizontal="center" wrapText="1"/>
    </xf>
    <xf numFmtId="0" fontId="75" fillId="33" borderId="0" xfId="0" applyFont="1" applyFill="1" applyAlignment="1">
      <alignment horizontal="center" wrapText="1"/>
    </xf>
    <xf numFmtId="0" fontId="75" fillId="33" borderId="135" xfId="0" applyFont="1" applyFill="1" applyBorder="1" applyAlignment="1">
      <alignment horizontal="center" wrapText="1"/>
    </xf>
    <xf numFmtId="0" fontId="76" fillId="10" borderId="151" xfId="0" applyFont="1" applyFill="1" applyBorder="1" applyAlignment="1">
      <alignment horizontal="center"/>
    </xf>
    <xf numFmtId="0" fontId="76" fillId="10" borderId="136" xfId="0" applyFont="1" applyFill="1" applyBorder="1" applyAlignment="1">
      <alignment horizontal="center"/>
    </xf>
    <xf numFmtId="0" fontId="75" fillId="33" borderId="135" xfId="0" applyFont="1" applyFill="1" applyBorder="1" applyAlignment="1">
      <alignment horizontal="center" vertical="center" wrapText="1"/>
    </xf>
    <xf numFmtId="0" fontId="75" fillId="33" borderId="151" xfId="0" applyFont="1" applyFill="1" applyBorder="1" applyAlignment="1">
      <alignment horizontal="center" wrapText="1"/>
    </xf>
    <xf numFmtId="0" fontId="75" fillId="33" borderId="155" xfId="0" applyFont="1" applyFill="1" applyBorder="1" applyAlignment="1">
      <alignment horizontal="center" wrapText="1"/>
    </xf>
    <xf numFmtId="0" fontId="75" fillId="33" borderId="136" xfId="0" applyFont="1" applyFill="1" applyBorder="1" applyAlignment="1">
      <alignment horizontal="center" wrapText="1"/>
    </xf>
    <xf numFmtId="0" fontId="75" fillId="33" borderId="152" xfId="0" applyFont="1" applyFill="1" applyBorder="1" applyAlignment="1">
      <alignment horizontal="center" vertical="center" wrapText="1"/>
    </xf>
    <xf numFmtId="0" fontId="75" fillId="33" borderId="134" xfId="0" applyFont="1" applyFill="1" applyBorder="1" applyAlignment="1">
      <alignment horizontal="center" vertical="center" wrapText="1"/>
    </xf>
    <xf numFmtId="0" fontId="75" fillId="33" borderId="153" xfId="0" applyFont="1" applyFill="1" applyBorder="1" applyAlignment="1">
      <alignment horizontal="center" vertical="center" wrapText="1"/>
    </xf>
    <xf numFmtId="0" fontId="75" fillId="33" borderId="154" xfId="0" applyFont="1" applyFill="1" applyBorder="1" applyAlignment="1">
      <alignment horizontal="center" vertical="center" wrapText="1"/>
    </xf>
    <xf numFmtId="0" fontId="75" fillId="33" borderId="133" xfId="0" applyFont="1" applyFill="1" applyBorder="1" applyAlignment="1">
      <alignment horizontal="center" vertical="center" wrapText="1"/>
    </xf>
    <xf numFmtId="0" fontId="75" fillId="33" borderId="150" xfId="0" applyFont="1" applyFill="1" applyBorder="1" applyAlignment="1">
      <alignment horizontal="center" vertical="center" wrapText="1"/>
    </xf>
    <xf numFmtId="0" fontId="76" fillId="10" borderId="133" xfId="0" applyFont="1" applyFill="1" applyBorder="1" applyAlignment="1">
      <alignment horizontal="left" vertical="center"/>
    </xf>
    <xf numFmtId="0" fontId="76" fillId="10" borderId="149" xfId="0" applyFont="1" applyFill="1" applyBorder="1" applyAlignment="1">
      <alignment horizontal="left" vertical="center"/>
    </xf>
    <xf numFmtId="0" fontId="76" fillId="10" borderId="150" xfId="0" applyFont="1" applyFill="1" applyBorder="1" applyAlignment="1">
      <alignment horizontal="left" vertical="center"/>
    </xf>
    <xf numFmtId="169" fontId="76" fillId="10" borderId="135" xfId="0" applyNumberFormat="1" applyFont="1" applyFill="1" applyBorder="1" applyAlignment="1">
      <alignment horizontal="center" vertical="center"/>
    </xf>
    <xf numFmtId="0" fontId="76" fillId="10" borderId="151" xfId="0" applyFont="1" applyFill="1" applyBorder="1" applyAlignment="1">
      <alignment horizontal="left" vertical="center"/>
    </xf>
    <xf numFmtId="0" fontId="76" fillId="10" borderId="136" xfId="0" applyFont="1" applyFill="1" applyBorder="1" applyAlignment="1">
      <alignment horizontal="left" vertical="center"/>
    </xf>
    <xf numFmtId="0" fontId="76" fillId="10" borderId="152" xfId="0" applyFont="1" applyFill="1" applyBorder="1" applyAlignment="1">
      <alignment horizontal="left" vertical="center"/>
    </xf>
    <xf numFmtId="0" fontId="76" fillId="10" borderId="134" xfId="0" applyFont="1" applyFill="1" applyBorder="1" applyAlignment="1">
      <alignment horizontal="left" vertical="center"/>
    </xf>
    <xf numFmtId="0" fontId="76" fillId="10" borderId="153" xfId="0" applyFont="1" applyFill="1" applyBorder="1" applyAlignment="1">
      <alignment horizontal="left" vertical="center"/>
    </xf>
    <xf numFmtId="0" fontId="76" fillId="10" borderId="154" xfId="0" applyFont="1" applyFill="1" applyBorder="1" applyAlignment="1">
      <alignment horizontal="left" vertical="center"/>
    </xf>
    <xf numFmtId="0" fontId="76" fillId="10" borderId="152" xfId="0" applyFont="1" applyFill="1" applyBorder="1" applyAlignment="1">
      <alignment horizontal="center" vertical="center"/>
    </xf>
    <xf numFmtId="0" fontId="76" fillId="10" borderId="160" xfId="0" applyFont="1" applyFill="1" applyBorder="1" applyAlignment="1">
      <alignment horizontal="center" vertical="center"/>
    </xf>
    <xf numFmtId="0" fontId="76" fillId="10" borderId="153" xfId="0" applyFont="1" applyFill="1" applyBorder="1" applyAlignment="1">
      <alignment horizontal="center" vertical="center"/>
    </xf>
    <xf numFmtId="169" fontId="76" fillId="10" borderId="151" xfId="0" applyNumberFormat="1" applyFont="1" applyFill="1" applyBorder="1" applyAlignment="1">
      <alignment horizontal="center" vertical="center"/>
    </xf>
    <xf numFmtId="169" fontId="76" fillId="10" borderId="155" xfId="0" applyNumberFormat="1" applyFont="1" applyFill="1" applyBorder="1" applyAlignment="1">
      <alignment horizontal="center" vertical="center"/>
    </xf>
    <xf numFmtId="0" fontId="0" fillId="6" borderId="25" xfId="0" applyFill="1" applyBorder="1" applyAlignment="1">
      <alignment horizontal="center" vertical="top" wrapText="1"/>
    </xf>
    <xf numFmtId="0" fontId="0" fillId="6" borderId="5" xfId="0" applyFill="1" applyBorder="1" applyAlignment="1">
      <alignment horizontal="center" vertical="top" wrapText="1"/>
    </xf>
    <xf numFmtId="0" fontId="9" fillId="6" borderId="28" xfId="0" applyFont="1" applyFill="1" applyBorder="1" applyAlignment="1">
      <alignment horizontal="center" vertical="top" wrapText="1"/>
    </xf>
    <xf numFmtId="0" fontId="9" fillId="6" borderId="29" xfId="0" applyFont="1" applyFill="1" applyBorder="1" applyAlignment="1">
      <alignment horizontal="center" vertical="top" wrapText="1"/>
    </xf>
    <xf numFmtId="0" fontId="9" fillId="6" borderId="30" xfId="0" applyFont="1" applyFill="1" applyBorder="1" applyAlignment="1">
      <alignment horizontal="center" vertical="top" wrapText="1"/>
    </xf>
    <xf numFmtId="0" fontId="9" fillId="6" borderId="14" xfId="0" applyFont="1" applyFill="1" applyBorder="1" applyAlignment="1">
      <alignment horizontal="center" vertical="top" wrapText="1"/>
    </xf>
    <xf numFmtId="0" fontId="9" fillId="6" borderId="23" xfId="0" applyFont="1" applyFill="1" applyBorder="1" applyAlignment="1">
      <alignment horizontal="center" vertical="top" wrapText="1"/>
    </xf>
    <xf numFmtId="0" fontId="9" fillId="6" borderId="13" xfId="0" applyFont="1" applyFill="1" applyBorder="1" applyAlignment="1">
      <alignment horizontal="center" vertical="top" wrapText="1"/>
    </xf>
    <xf numFmtId="0" fontId="0" fillId="6" borderId="31" xfId="0" applyFill="1" applyBorder="1" applyAlignment="1">
      <alignment horizontal="center" vertical="top" wrapText="1"/>
    </xf>
    <xf numFmtId="0" fontId="0" fillId="6" borderId="13" xfId="0" applyFill="1" applyBorder="1" applyAlignment="1">
      <alignment horizontal="center" vertical="top" wrapText="1"/>
    </xf>
    <xf numFmtId="0" fontId="50" fillId="22" borderId="53" xfId="0" applyFont="1" applyFill="1" applyBorder="1" applyAlignment="1">
      <alignment horizontal="center" vertical="top" wrapText="1"/>
    </xf>
    <xf numFmtId="0" fontId="50" fillId="22" borderId="110" xfId="0" applyFont="1" applyFill="1" applyBorder="1" applyAlignment="1">
      <alignment horizontal="center" vertical="top" wrapText="1"/>
    </xf>
    <xf numFmtId="0" fontId="50" fillId="22" borderId="58" xfId="0" applyFont="1" applyFill="1" applyBorder="1" applyAlignment="1">
      <alignment horizontal="center" vertical="top" wrapText="1"/>
    </xf>
    <xf numFmtId="0" fontId="50" fillId="22" borderId="129" xfId="0" applyFont="1" applyFill="1" applyBorder="1" applyAlignment="1">
      <alignment horizontal="center" vertical="top" wrapText="1"/>
    </xf>
    <xf numFmtId="0" fontId="9" fillId="6" borderId="18" xfId="0" applyFont="1" applyFill="1" applyBorder="1" applyAlignment="1">
      <alignment horizontal="center" vertical="top" wrapText="1"/>
    </xf>
    <xf numFmtId="0" fontId="9" fillId="6" borderId="58" xfId="0" applyFont="1" applyFill="1" applyBorder="1" applyAlignment="1">
      <alignment horizontal="center" vertical="top" wrapText="1"/>
    </xf>
    <xf numFmtId="0" fontId="9" fillId="6" borderId="128" xfId="0" applyFont="1" applyFill="1" applyBorder="1" applyAlignment="1">
      <alignment horizontal="center" vertical="top" wrapText="1"/>
    </xf>
    <xf numFmtId="0" fontId="9" fillId="6" borderId="129" xfId="0" applyFont="1" applyFill="1" applyBorder="1" applyAlignment="1">
      <alignment horizontal="center" vertical="top" wrapText="1"/>
    </xf>
    <xf numFmtId="0" fontId="8" fillId="0" borderId="14" xfId="0" applyFont="1" applyBorder="1" applyAlignment="1">
      <alignment horizontal="center" vertical="top" wrapText="1"/>
    </xf>
    <xf numFmtId="0" fontId="8" fillId="0" borderId="23" xfId="0" applyFont="1" applyBorder="1" applyAlignment="1">
      <alignment horizontal="center" vertical="top" wrapText="1"/>
    </xf>
    <xf numFmtId="0" fontId="8" fillId="0" borderId="15" xfId="0" applyFont="1" applyBorder="1" applyAlignment="1">
      <alignment horizontal="center" vertical="top" wrapText="1"/>
    </xf>
    <xf numFmtId="0" fontId="8" fillId="0" borderId="26" xfId="0" applyFont="1" applyBorder="1" applyAlignment="1">
      <alignment horizontal="center" vertical="top" wrapText="1"/>
    </xf>
    <xf numFmtId="0" fontId="9" fillId="6" borderId="24" xfId="0" applyFont="1" applyFill="1" applyBorder="1" applyAlignment="1">
      <alignment horizontal="center" vertical="top" wrapText="1"/>
    </xf>
    <xf numFmtId="0" fontId="9" fillId="6" borderId="0" xfId="0" applyFont="1" applyFill="1" applyAlignment="1">
      <alignment horizontal="center" vertical="top" wrapText="1"/>
    </xf>
    <xf numFmtId="0" fontId="9" fillId="6" borderId="20" xfId="0" applyFont="1" applyFill="1" applyBorder="1" applyAlignment="1">
      <alignment horizontal="center" vertical="top" wrapText="1"/>
    </xf>
    <xf numFmtId="0" fontId="9" fillId="6" borderId="19" xfId="0" applyFont="1" applyFill="1" applyBorder="1" applyAlignment="1">
      <alignment horizontal="center" vertical="top" wrapText="1"/>
    </xf>
    <xf numFmtId="0" fontId="9" fillId="6" borderId="6" xfId="0" applyFont="1" applyFill="1" applyBorder="1" applyAlignment="1">
      <alignment horizontal="center" vertical="top" wrapText="1"/>
    </xf>
    <xf numFmtId="0" fontId="0" fillId="0" borderId="15" xfId="0" applyBorder="1" applyAlignment="1">
      <alignment horizontal="center" vertical="top" wrapText="1"/>
    </xf>
    <xf numFmtId="0" fontId="0" fillId="0" borderId="26" xfId="0" applyBorder="1" applyAlignment="1">
      <alignment horizontal="center" vertical="top" wrapText="1"/>
    </xf>
    <xf numFmtId="0" fontId="0" fillId="0" borderId="5" xfId="0" applyBorder="1" applyAlignment="1">
      <alignment horizontal="center" vertical="top" wrapText="1"/>
    </xf>
    <xf numFmtId="0" fontId="0" fillId="22" borderId="14" xfId="0" applyFill="1" applyBorder="1" applyAlignment="1">
      <alignment horizontal="center" vertical="top" wrapText="1"/>
    </xf>
    <xf numFmtId="0" fontId="0" fillId="22" borderId="23" xfId="0" applyFill="1" applyBorder="1" applyAlignment="1">
      <alignment horizontal="center" vertical="top" wrapText="1"/>
    </xf>
    <xf numFmtId="0" fontId="0" fillId="22" borderId="13" xfId="0" applyFill="1" applyBorder="1" applyAlignment="1">
      <alignment horizontal="center" vertical="top" wrapText="1"/>
    </xf>
    <xf numFmtId="0" fontId="8" fillId="0" borderId="14" xfId="0" applyFont="1" applyBorder="1" applyAlignment="1">
      <alignment horizontal="left" vertical="top" wrapText="1"/>
    </xf>
    <xf numFmtId="0" fontId="8" fillId="0" borderId="24" xfId="0" applyFont="1" applyBorder="1" applyAlignment="1">
      <alignment horizontal="left" vertical="top" wrapText="1"/>
    </xf>
    <xf numFmtId="0" fontId="8" fillId="0" borderId="15" xfId="0" applyFont="1" applyBorder="1" applyAlignment="1">
      <alignment horizontal="left" vertical="top" wrapText="1"/>
    </xf>
    <xf numFmtId="0" fontId="52" fillId="0" borderId="0" xfId="0" applyFont="1" applyAlignment="1">
      <alignment horizontal="left" vertical="top" wrapText="1"/>
    </xf>
    <xf numFmtId="0" fontId="0" fillId="0" borderId="23" xfId="0" applyBorder="1" applyAlignment="1">
      <alignment horizontal="left" vertical="top" wrapText="1"/>
    </xf>
    <xf numFmtId="0" fontId="0" fillId="0" borderId="0" xfId="0" applyAlignment="1">
      <alignment horizontal="left" vertical="top" wrapText="1"/>
    </xf>
    <xf numFmtId="0" fontId="0" fillId="0" borderId="26" xfId="0" applyBorder="1" applyAlignment="1">
      <alignment horizontal="left" vertical="top" wrapText="1"/>
    </xf>
    <xf numFmtId="0" fontId="73" fillId="0" borderId="112" xfId="0" applyFont="1" applyBorder="1" applyAlignment="1">
      <alignment horizontal="left" vertical="top" wrapText="1"/>
    </xf>
    <xf numFmtId="0" fontId="73" fillId="0" borderId="18" xfId="0" applyFont="1" applyBorder="1" applyAlignment="1">
      <alignment horizontal="left" vertical="top" wrapText="1"/>
    </xf>
    <xf numFmtId="0" fontId="73" fillId="0" borderId="33" xfId="0" applyFont="1" applyBorder="1" applyAlignment="1">
      <alignment horizontal="left" vertical="top" wrapText="1"/>
    </xf>
    <xf numFmtId="0" fontId="73" fillId="0" borderId="103" xfId="0" applyFont="1" applyBorder="1" applyAlignment="1">
      <alignment horizontal="left" vertical="top" wrapText="1"/>
    </xf>
    <xf numFmtId="0" fontId="8" fillId="7" borderId="24" xfId="0" applyFont="1" applyFill="1" applyBorder="1" applyAlignment="1">
      <alignment horizontal="left" vertical="top" wrapText="1"/>
    </xf>
    <xf numFmtId="0" fontId="8" fillId="7" borderId="15" xfId="0" applyFont="1" applyFill="1" applyBorder="1" applyAlignment="1">
      <alignment horizontal="left" vertical="top" wrapText="1"/>
    </xf>
    <xf numFmtId="0" fontId="0" fillId="7" borderId="0" xfId="0" applyFill="1" applyAlignment="1">
      <alignment horizontal="left" vertical="top" wrapText="1"/>
    </xf>
    <xf numFmtId="0" fontId="0" fillId="7" borderId="26" xfId="0" applyFill="1" applyBorder="1" applyAlignment="1">
      <alignment horizontal="left" vertical="top" wrapText="1"/>
    </xf>
    <xf numFmtId="0" fontId="0" fillId="16" borderId="14" xfId="0" applyFill="1" applyBorder="1" applyAlignment="1">
      <alignment horizontal="center" vertical="top" wrapText="1"/>
    </xf>
    <xf numFmtId="0" fontId="0" fillId="16" borderId="23" xfId="0" applyFill="1" applyBorder="1" applyAlignment="1">
      <alignment horizontal="center" vertical="top" wrapText="1"/>
    </xf>
    <xf numFmtId="0" fontId="0" fillId="16" borderId="13" xfId="0" applyFill="1" applyBorder="1" applyAlignment="1">
      <alignment horizontal="center" vertical="top" wrapText="1"/>
    </xf>
    <xf numFmtId="0" fontId="64" fillId="22" borderId="137" xfId="8" applyFont="1" applyFill="1" applyBorder="1" applyAlignment="1">
      <alignment horizontal="center" vertical="center" wrapText="1"/>
    </xf>
    <xf numFmtId="0" fontId="64" fillId="22" borderId="138" xfId="8" applyFont="1" applyFill="1" applyBorder="1" applyAlignment="1">
      <alignment horizontal="center" vertical="center" wrapText="1"/>
    </xf>
    <xf numFmtId="0" fontId="64" fillId="22" borderId="132" xfId="8" applyFont="1" applyFill="1" applyBorder="1" applyAlignment="1">
      <alignment horizontal="center" vertical="center" wrapText="1"/>
    </xf>
    <xf numFmtId="0" fontId="64" fillId="28" borderId="137" xfId="8" applyFont="1" applyFill="1" applyBorder="1" applyAlignment="1">
      <alignment horizontal="center" vertical="center" wrapText="1"/>
    </xf>
    <xf numFmtId="0" fontId="64" fillId="28" borderId="138" xfId="8" applyFont="1" applyFill="1" applyBorder="1" applyAlignment="1">
      <alignment horizontal="center" vertical="center" wrapText="1"/>
    </xf>
    <xf numFmtId="0" fontId="64" fillId="28" borderId="132" xfId="8" applyFont="1" applyFill="1" applyBorder="1" applyAlignment="1">
      <alignment horizontal="center" vertical="center" wrapText="1"/>
    </xf>
    <xf numFmtId="0" fontId="64" fillId="26" borderId="137" xfId="8" applyFont="1" applyFill="1" applyBorder="1" applyAlignment="1">
      <alignment horizontal="center" vertical="center" wrapText="1"/>
    </xf>
    <xf numFmtId="0" fontId="64" fillId="26" borderId="132" xfId="8" applyFont="1" applyFill="1" applyBorder="1" applyAlignment="1">
      <alignment horizontal="center" vertical="center" wrapText="1"/>
    </xf>
    <xf numFmtId="0" fontId="63" fillId="27" borderId="137" xfId="8" applyFont="1" applyFill="1" applyBorder="1" applyAlignment="1">
      <alignment horizontal="center" vertical="center" wrapText="1"/>
    </xf>
    <xf numFmtId="0" fontId="63" fillId="27" borderId="138" xfId="8" applyFont="1" applyFill="1" applyBorder="1" applyAlignment="1">
      <alignment horizontal="center" vertical="center" wrapText="1"/>
    </xf>
    <xf numFmtId="0" fontId="63" fillId="27" borderId="132" xfId="8" applyFont="1" applyFill="1" applyBorder="1" applyAlignment="1">
      <alignment horizontal="center" vertical="center" wrapText="1"/>
    </xf>
    <xf numFmtId="0" fontId="61" fillId="22" borderId="130" xfId="8" applyFill="1" applyBorder="1" applyAlignment="1">
      <alignment horizontal="center"/>
    </xf>
    <xf numFmtId="0" fontId="59" fillId="22" borderId="0" xfId="0" applyFont="1" applyFill="1" applyAlignment="1">
      <alignment horizontal="left"/>
    </xf>
    <xf numFmtId="0" fontId="59" fillId="22" borderId="148" xfId="0" applyFont="1" applyFill="1" applyBorder="1" applyAlignment="1">
      <alignment horizontal="left"/>
    </xf>
    <xf numFmtId="0" fontId="54" fillId="26" borderId="165" xfId="0" applyFont="1" applyFill="1" applyBorder="1" applyAlignment="1">
      <alignment horizontal="center"/>
    </xf>
    <xf numFmtId="0" fontId="54" fillId="26" borderId="0" xfId="0" applyFont="1" applyFill="1" applyAlignment="1">
      <alignment horizontal="center"/>
    </xf>
    <xf numFmtId="0" fontId="54" fillId="26" borderId="166" xfId="0" applyFont="1" applyFill="1" applyBorder="1" applyAlignment="1">
      <alignment horizontal="center"/>
    </xf>
    <xf numFmtId="0" fontId="54" fillId="26" borderId="165" xfId="0" applyFont="1" applyFill="1" applyBorder="1" applyAlignment="1">
      <alignment horizontal="left"/>
    </xf>
    <xf numFmtId="0" fontId="54" fillId="26" borderId="0" xfId="0" applyFont="1" applyFill="1" applyAlignment="1">
      <alignment horizontal="left"/>
    </xf>
    <xf numFmtId="0" fontId="55" fillId="32" borderId="145" xfId="0" applyFont="1" applyFill="1" applyBorder="1" applyAlignment="1">
      <alignment horizontal="center"/>
    </xf>
    <xf numFmtId="0" fontId="55" fillId="32" borderId="146" xfId="0" applyFont="1" applyFill="1" applyBorder="1" applyAlignment="1">
      <alignment horizontal="center"/>
    </xf>
    <xf numFmtId="0" fontId="55" fillId="32" borderId="147" xfId="0" applyFont="1" applyFill="1" applyBorder="1" applyAlignment="1">
      <alignment horizontal="center"/>
    </xf>
    <xf numFmtId="0" fontId="60" fillId="6" borderId="143" xfId="0" applyFont="1" applyFill="1" applyBorder="1" applyAlignment="1">
      <alignment horizontal="center" vertical="center"/>
    </xf>
    <xf numFmtId="0" fontId="60" fillId="6" borderId="144" xfId="0" applyFont="1" applyFill="1" applyBorder="1" applyAlignment="1">
      <alignment horizontal="center" vertical="center"/>
    </xf>
    <xf numFmtId="0" fontId="60" fillId="6" borderId="139" xfId="0" applyFont="1" applyFill="1" applyBorder="1" applyAlignment="1">
      <alignment horizontal="center" vertical="center"/>
    </xf>
    <xf numFmtId="0" fontId="54" fillId="22" borderId="130" xfId="0" applyFont="1" applyFill="1" applyBorder="1" applyAlignment="1">
      <alignment horizontal="left" vertical="top"/>
    </xf>
    <xf numFmtId="0" fontId="54" fillId="26" borderId="130" xfId="0" applyFont="1" applyFill="1" applyBorder="1" applyAlignment="1">
      <alignment horizontal="left" vertical="top"/>
    </xf>
    <xf numFmtId="0" fontId="57" fillId="25" borderId="130" xfId="0" applyFont="1" applyFill="1" applyBorder="1" applyAlignment="1">
      <alignment horizontal="center"/>
    </xf>
    <xf numFmtId="0" fontId="27" fillId="0" borderId="0" xfId="0" applyFont="1" applyAlignment="1">
      <alignment horizontal="center"/>
    </xf>
    <xf numFmtId="0" fontId="30" fillId="0" borderId="0" xfId="0" applyFont="1" applyAlignment="1">
      <alignment horizontal="left" vertical="top" wrapText="1"/>
    </xf>
    <xf numFmtId="0" fontId="0" fillId="0" borderId="0" xfId="0" applyAlignment="1">
      <alignment horizontal="center" vertical="center" wrapText="1"/>
    </xf>
    <xf numFmtId="0" fontId="0" fillId="0" borderId="0" xfId="0" applyAlignment="1">
      <alignment horizontal="center" vertical="center"/>
    </xf>
    <xf numFmtId="0" fontId="24" fillId="0" borderId="26" xfId="0" applyFont="1" applyBorder="1" applyAlignment="1">
      <alignment horizontal="left"/>
    </xf>
    <xf numFmtId="0" fontId="24" fillId="0" borderId="27" xfId="0" applyFont="1" applyBorder="1" applyAlignment="1">
      <alignment horizontal="left"/>
    </xf>
    <xf numFmtId="0" fontId="23" fillId="11" borderId="28" xfId="0" applyFont="1" applyFill="1" applyBorder="1" applyAlignment="1">
      <alignment horizontal="left"/>
    </xf>
    <xf numFmtId="0" fontId="23" fillId="11" borderId="29" xfId="0" applyFont="1" applyFill="1" applyBorder="1" applyAlignment="1">
      <alignment horizontal="left"/>
    </xf>
    <xf numFmtId="0" fontId="23" fillId="11" borderId="0" xfId="0" applyFont="1" applyFill="1" applyAlignment="1">
      <alignment horizontal="left"/>
    </xf>
    <xf numFmtId="0" fontId="23" fillId="37" borderId="28" xfId="0" applyFont="1" applyFill="1" applyBorder="1" applyAlignment="1">
      <alignment horizontal="left"/>
    </xf>
    <xf numFmtId="0" fontId="23" fillId="37" borderId="29" xfId="0" applyFont="1" applyFill="1" applyBorder="1" applyAlignment="1">
      <alignment horizontal="left"/>
    </xf>
    <xf numFmtId="0" fontId="52" fillId="0" borderId="21" xfId="0" applyFont="1" applyBorder="1" applyAlignment="1">
      <alignment horizontal="left"/>
    </xf>
    <xf numFmtId="0" fontId="23" fillId="17" borderId="28" xfId="0" applyFont="1" applyFill="1" applyBorder="1" applyAlignment="1">
      <alignment horizontal="left"/>
    </xf>
    <xf numFmtId="0" fontId="23" fillId="17" borderId="29" xfId="0" applyFont="1" applyFill="1" applyBorder="1" applyAlignment="1">
      <alignment horizontal="left"/>
    </xf>
    <xf numFmtId="0" fontId="51" fillId="0" borderId="0" xfId="0" applyFont="1"/>
    <xf numFmtId="0" fontId="23" fillId="17" borderId="0" xfId="0" applyFont="1" applyFill="1" applyAlignment="1">
      <alignment horizontal="left"/>
    </xf>
    <xf numFmtId="0" fontId="23" fillId="37" borderId="0" xfId="0" applyFont="1" applyFill="1" applyAlignment="1">
      <alignment horizontal="left"/>
    </xf>
    <xf numFmtId="0" fontId="53" fillId="0" borderId="21" xfId="0" applyFont="1" applyBorder="1" applyAlignment="1">
      <alignment horizontal="left"/>
    </xf>
    <xf numFmtId="0" fontId="51" fillId="0" borderId="0" xfId="0" applyFont="1" applyAlignment="1">
      <alignment wrapText="1"/>
    </xf>
    <xf numFmtId="0" fontId="1" fillId="24" borderId="8" xfId="0" applyFont="1" applyFill="1" applyBorder="1" applyAlignment="1">
      <alignment horizontal="center" vertical="top"/>
    </xf>
    <xf numFmtId="0" fontId="1" fillId="24" borderId="74" xfId="0" applyFont="1" applyFill="1" applyBorder="1" applyAlignment="1">
      <alignment horizontal="center" vertical="top"/>
    </xf>
    <xf numFmtId="0" fontId="5" fillId="24" borderId="8" xfId="0" applyFont="1" applyFill="1" applyBorder="1" applyAlignment="1">
      <alignment horizontal="left" vertical="top" wrapText="1"/>
    </xf>
    <xf numFmtId="0" fontId="5" fillId="24" borderId="74" xfId="0" applyFont="1" applyFill="1" applyBorder="1" applyAlignment="1">
      <alignment horizontal="left" vertical="top" wrapText="1"/>
    </xf>
    <xf numFmtId="0" fontId="1" fillId="24" borderId="8" xfId="0" applyFont="1" applyFill="1" applyBorder="1" applyAlignment="1">
      <alignment vertical="top" wrapText="1"/>
    </xf>
    <xf numFmtId="0" fontId="1" fillId="24" borderId="74" xfId="0" applyFont="1" applyFill="1" applyBorder="1" applyAlignment="1">
      <alignment vertical="top" wrapText="1"/>
    </xf>
    <xf numFmtId="2" fontId="3" fillId="26" borderId="85" xfId="3" applyNumberFormat="1" applyFont="1" applyFill="1" applyBorder="1" applyAlignment="1">
      <alignment horizontal="right" vertical="top" wrapText="1"/>
    </xf>
    <xf numFmtId="2" fontId="3" fillId="26" borderId="86" xfId="3" applyNumberFormat="1" applyFont="1" applyFill="1" applyBorder="1" applyAlignment="1">
      <alignment horizontal="right" vertical="top" wrapText="1"/>
    </xf>
    <xf numFmtId="0" fontId="5" fillId="24" borderId="7" xfId="0" applyFont="1" applyFill="1" applyBorder="1" applyAlignment="1">
      <alignment horizontal="left" vertical="top" wrapText="1"/>
    </xf>
    <xf numFmtId="0" fontId="5" fillId="24" borderId="4" xfId="0" applyFont="1" applyFill="1" applyBorder="1" applyAlignment="1">
      <alignment horizontal="left" vertical="top" wrapText="1"/>
    </xf>
    <xf numFmtId="166" fontId="39" fillId="3" borderId="8" xfId="4" applyNumberFormat="1" applyFont="1" applyFill="1" applyBorder="1" applyAlignment="1">
      <alignment horizontal="right" vertical="top" wrapText="1"/>
    </xf>
    <xf numFmtId="166" fontId="39" fillId="3" borderId="9" xfId="4" applyNumberFormat="1" applyFont="1" applyFill="1" applyBorder="1" applyAlignment="1">
      <alignment horizontal="right" vertical="top" wrapText="1"/>
    </xf>
    <xf numFmtId="166" fontId="39" fillId="3" borderId="8" xfId="4" applyNumberFormat="1" applyFont="1" applyFill="1" applyBorder="1" applyAlignment="1">
      <alignment vertical="top" wrapText="1"/>
    </xf>
    <xf numFmtId="166" fontId="39" fillId="3" borderId="9" xfId="4" applyNumberFormat="1" applyFont="1" applyFill="1" applyBorder="1" applyAlignment="1">
      <alignment vertical="top" wrapText="1"/>
    </xf>
    <xf numFmtId="0" fontId="5" fillId="24" borderId="14" xfId="0" applyFont="1" applyFill="1" applyBorder="1" applyAlignment="1">
      <alignment horizontal="left" vertical="top" wrapText="1"/>
    </xf>
    <xf numFmtId="0" fontId="5" fillId="24" borderId="15" xfId="0" applyFont="1" applyFill="1" applyBorder="1" applyAlignment="1">
      <alignment horizontal="left" vertical="top" wrapText="1"/>
    </xf>
    <xf numFmtId="2" fontId="39" fillId="3" borderId="8" xfId="4" applyNumberFormat="1" applyFont="1" applyFill="1" applyBorder="1" applyAlignment="1">
      <alignment vertical="top" wrapText="1"/>
    </xf>
    <xf numFmtId="2" fontId="39" fillId="3" borderId="9" xfId="4" applyNumberFormat="1" applyFont="1" applyFill="1" applyBorder="1" applyAlignment="1">
      <alignment vertical="top" wrapText="1"/>
    </xf>
    <xf numFmtId="0" fontId="1" fillId="24" borderId="9" xfId="0" applyFont="1" applyFill="1" applyBorder="1" applyAlignment="1">
      <alignment vertical="top" wrapText="1"/>
    </xf>
    <xf numFmtId="0" fontId="5" fillId="24" borderId="11" xfId="0" applyFont="1" applyFill="1" applyBorder="1" applyAlignment="1">
      <alignment horizontal="left" vertical="top" wrapText="1"/>
    </xf>
    <xf numFmtId="0" fontId="5" fillId="24" borderId="12" xfId="0" applyFont="1" applyFill="1" applyBorder="1" applyAlignment="1">
      <alignment horizontal="left" vertical="top" wrapText="1"/>
    </xf>
    <xf numFmtId="0" fontId="5" fillId="24" borderId="8" xfId="0" applyFont="1" applyFill="1" applyBorder="1" applyAlignment="1">
      <alignment horizontal="center" vertical="top" wrapText="1"/>
    </xf>
    <xf numFmtId="0" fontId="5" fillId="24" borderId="9" xfId="0" applyFont="1" applyFill="1" applyBorder="1" applyAlignment="1">
      <alignment horizontal="center" vertical="top" wrapText="1"/>
    </xf>
    <xf numFmtId="0" fontId="1" fillId="24" borderId="13" xfId="0" applyFont="1" applyFill="1" applyBorder="1" applyAlignment="1">
      <alignment horizontal="center" vertical="top"/>
    </xf>
    <xf numFmtId="0" fontId="1" fillId="24" borderId="5" xfId="0" applyFont="1" applyFill="1" applyBorder="1" applyAlignment="1">
      <alignment horizontal="center" vertical="top"/>
    </xf>
    <xf numFmtId="0" fontId="8" fillId="17" borderId="115" xfId="0" applyFont="1" applyFill="1" applyBorder="1" applyAlignment="1">
      <alignment horizontal="left" wrapText="1"/>
    </xf>
    <xf numFmtId="0" fontId="8" fillId="17" borderId="33" xfId="0" applyFont="1" applyFill="1" applyBorder="1" applyAlignment="1">
      <alignment horizontal="left" wrapText="1"/>
    </xf>
    <xf numFmtId="0" fontId="8" fillId="17" borderId="103" xfId="0" applyFont="1" applyFill="1" applyBorder="1" applyAlignment="1">
      <alignment horizontal="left" wrapText="1"/>
    </xf>
    <xf numFmtId="0" fontId="8" fillId="17" borderId="80" xfId="0" applyFont="1" applyFill="1" applyBorder="1" applyAlignment="1">
      <alignment horizontal="center" vertical="top" wrapText="1"/>
    </xf>
    <xf numFmtId="0" fontId="8" fillId="17" borderId="116" xfId="0" applyFont="1" applyFill="1" applyBorder="1" applyAlignment="1">
      <alignment horizontal="center" vertical="top" wrapText="1"/>
    </xf>
    <xf numFmtId="0" fontId="8" fillId="17" borderId="104" xfId="0" applyFont="1" applyFill="1" applyBorder="1" applyAlignment="1">
      <alignment horizontal="center" vertical="top" wrapText="1"/>
    </xf>
    <xf numFmtId="0" fontId="8" fillId="10" borderId="115" xfId="0" applyFont="1" applyFill="1" applyBorder="1" applyAlignment="1">
      <alignment horizontal="center" wrapText="1"/>
    </xf>
    <xf numFmtId="0" fontId="8" fillId="10" borderId="103" xfId="0" applyFont="1" applyFill="1" applyBorder="1" applyAlignment="1">
      <alignment horizontal="center" wrapText="1"/>
    </xf>
    <xf numFmtId="0" fontId="8" fillId="10" borderId="115" xfId="0" applyFont="1" applyFill="1" applyBorder="1" applyAlignment="1">
      <alignment horizontal="center" vertical="center" wrapText="1"/>
    </xf>
    <xf numFmtId="0" fontId="8" fillId="10" borderId="103" xfId="0" applyFont="1" applyFill="1" applyBorder="1" applyAlignment="1">
      <alignment horizontal="center" vertical="center" wrapText="1"/>
    </xf>
    <xf numFmtId="0" fontId="8" fillId="0" borderId="24" xfId="0" applyFont="1" applyBorder="1" applyAlignment="1">
      <alignment horizontal="center" vertical="top" wrapText="1"/>
    </xf>
    <xf numFmtId="0" fontId="0" fillId="0" borderId="23" xfId="0" applyBorder="1" applyAlignment="1">
      <alignment horizontal="center" vertical="top"/>
    </xf>
    <xf numFmtId="0" fontId="0" fillId="0" borderId="0" xfId="0" applyAlignment="1">
      <alignment horizontal="center" vertical="top"/>
    </xf>
    <xf numFmtId="0" fontId="0" fillId="0" borderId="26" xfId="0" applyBorder="1" applyAlignment="1">
      <alignment horizontal="center" vertical="top"/>
    </xf>
    <xf numFmtId="0" fontId="8" fillId="0" borderId="14" xfId="0" applyFont="1" applyBorder="1" applyAlignment="1">
      <alignment horizontal="center" vertical="center"/>
    </xf>
    <xf numFmtId="0" fontId="8" fillId="0" borderId="23" xfId="0" applyFont="1" applyBorder="1" applyAlignment="1">
      <alignment horizontal="center" vertical="center"/>
    </xf>
    <xf numFmtId="0" fontId="8" fillId="0" borderId="13" xfId="0" applyFont="1" applyBorder="1" applyAlignment="1">
      <alignment horizontal="center" vertical="center"/>
    </xf>
    <xf numFmtId="0" fontId="8" fillId="0" borderId="15" xfId="0" applyFont="1" applyBorder="1" applyAlignment="1">
      <alignment horizontal="center" vertical="center"/>
    </xf>
    <xf numFmtId="0" fontId="8" fillId="0" borderId="26" xfId="0" applyFont="1" applyBorder="1" applyAlignment="1">
      <alignment horizontal="center" vertical="center"/>
    </xf>
    <xf numFmtId="0" fontId="8" fillId="0" borderId="5" xfId="0" applyFont="1" applyBorder="1" applyAlignment="1">
      <alignment horizontal="center" vertical="center"/>
    </xf>
    <xf numFmtId="0" fontId="48" fillId="20" borderId="14" xfId="0" applyFont="1" applyFill="1" applyBorder="1" applyAlignment="1">
      <alignment horizontal="center"/>
    </xf>
    <xf numFmtId="0" fontId="48" fillId="20" borderId="23" xfId="0" applyFont="1" applyFill="1" applyBorder="1" applyAlignment="1">
      <alignment horizontal="center"/>
    </xf>
  </cellXfs>
  <cellStyles count="13">
    <cellStyle name="Calculation" xfId="2" builtinId="22"/>
    <cellStyle name="Comma" xfId="5" builtinId="3"/>
    <cellStyle name="Currency" xfId="7" builtinId="4"/>
    <cellStyle name="Good" xfId="1" builtinId="26"/>
    <cellStyle name="Hyperlink" xfId="6" builtinId="8"/>
    <cellStyle name="Hypertextové prepojenie 2" xfId="9" xr:uid="{00000000-0005-0000-0000-000003000000}"/>
    <cellStyle name="Mena 2" xfId="11" xr:uid="{00000000-0005-0000-0000-000005000000}"/>
    <cellStyle name="Mena 3" xfId="12" xr:uid="{00000000-0005-0000-0000-000006000000}"/>
    <cellStyle name="Normal" xfId="0" builtinId="0"/>
    <cellStyle name="Normálna 2" xfId="8" xr:uid="{00000000-0005-0000-0000-000008000000}"/>
    <cellStyle name="Normálne 2" xfId="10" xr:uid="{00000000-0005-0000-0000-000009000000}"/>
    <cellStyle name="Note" xfId="3" builtinId="10"/>
    <cellStyle name="Percent" xfId="4" builtinId="5"/>
  </cellStyles>
  <dxfs count="33">
    <dxf>
      <font>
        <color theme="0" tint="-0.14996795556505021"/>
      </font>
    </dxf>
    <dxf>
      <font>
        <color theme="0" tint="-0.14996795556505021"/>
      </font>
    </dxf>
    <dxf>
      <fill>
        <patternFill>
          <bgColor theme="0" tint="-0.14996795556505021"/>
        </patternFill>
      </fill>
    </dxf>
    <dxf>
      <font>
        <b/>
        <i/>
        <color rgb="FFFF0000"/>
      </font>
    </dxf>
    <dxf>
      <font>
        <b/>
        <i/>
        <color rgb="FFFF0000"/>
      </font>
    </dxf>
    <dxf>
      <font>
        <b/>
        <i/>
        <color rgb="FFFF0000"/>
      </font>
    </dxf>
    <dxf>
      <font>
        <b/>
        <i val="0"/>
        <color rgb="FF00B050"/>
      </font>
    </dxf>
    <dxf>
      <font>
        <b/>
        <i/>
        <color rgb="FFFF0000"/>
      </font>
    </dxf>
    <dxf>
      <font>
        <b/>
        <i/>
        <color rgb="FFCA9D0C"/>
      </font>
    </dxf>
    <dxf>
      <font>
        <b/>
        <i/>
        <color rgb="FFCA9D0C"/>
      </font>
    </dxf>
    <dxf>
      <font>
        <b/>
        <i/>
        <color rgb="FFFF0000"/>
      </font>
    </dxf>
    <dxf>
      <font>
        <b/>
        <i/>
        <color rgb="FFFF0000"/>
      </font>
    </dxf>
    <dxf>
      <font>
        <b/>
        <i/>
        <color rgb="FFFF0000"/>
      </font>
    </dxf>
    <dxf>
      <font>
        <b/>
        <i/>
        <color rgb="FFFF0000"/>
      </font>
    </dxf>
    <dxf>
      <fill>
        <patternFill>
          <bgColor theme="7" tint="0.79998168889431442"/>
        </patternFill>
      </fill>
    </dxf>
    <dxf>
      <font>
        <color theme="0"/>
      </font>
    </dxf>
    <dxf>
      <fill>
        <patternFill>
          <bgColor theme="7" tint="0.79998168889431442"/>
        </patternFill>
      </fill>
    </dxf>
    <dxf>
      <font>
        <color theme="0"/>
      </font>
    </dxf>
    <dxf>
      <font>
        <color auto="1"/>
      </font>
      <fill>
        <patternFill>
          <bgColor theme="0" tint="-0.14996795556505021"/>
        </patternFill>
      </fill>
    </dxf>
    <dxf>
      <fill>
        <patternFill>
          <bgColor theme="7" tint="0.79998168889431442"/>
        </patternFill>
      </fill>
    </dxf>
    <dxf>
      <font>
        <b/>
        <i/>
        <color rgb="FFFF0000"/>
      </font>
    </dxf>
    <dxf>
      <font>
        <b/>
        <i val="0"/>
        <condense val="0"/>
        <extend val="0"/>
        <color indexed="10"/>
      </font>
    </dxf>
    <dxf>
      <font>
        <b/>
        <i/>
        <color rgb="FFFF0000"/>
      </font>
    </dxf>
    <dxf>
      <font>
        <b/>
        <i/>
        <color rgb="FFFF0000"/>
      </font>
    </dxf>
    <dxf>
      <font>
        <b/>
        <i val="0"/>
        <color rgb="FF00B050"/>
      </font>
    </dxf>
    <dxf>
      <font>
        <b/>
        <i/>
        <color rgb="FFFF0000"/>
      </font>
    </dxf>
    <dxf>
      <font>
        <b/>
        <i val="0"/>
        <color rgb="FF00B050"/>
      </font>
    </dxf>
    <dxf>
      <font>
        <b/>
        <i/>
        <color rgb="FFFF0000"/>
      </font>
    </dxf>
    <dxf>
      <font>
        <b/>
        <i val="0"/>
        <color rgb="FF00B050"/>
      </font>
      <numFmt numFmtId="13" formatCode="0%"/>
    </dxf>
    <dxf>
      <font>
        <b/>
        <i/>
        <color rgb="FFFF0000"/>
      </font>
    </dxf>
    <dxf>
      <font>
        <b/>
        <i val="0"/>
        <color rgb="FF00B050"/>
      </font>
    </dxf>
    <dxf>
      <font>
        <color theme="0" tint="-0.24994659260841701"/>
      </font>
    </dxf>
    <dxf>
      <font>
        <color theme="0" tint="-0.24994659260841701"/>
      </font>
    </dxf>
  </dxfs>
  <tableStyles count="0" defaultTableStyle="TableStyleMedium2" defaultPivotStyle="PivotStyleLight16"/>
  <colors>
    <mruColors>
      <color rgb="FFFFFFCC"/>
      <color rgb="FFCA9D0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spPr>
            <a:noFill/>
            <a:ln>
              <a:noFill/>
            </a:ln>
            <a:effectLst/>
          </c:spPr>
          <c:invertIfNegative val="0"/>
          <c:cat>
            <c:multiLvlStrRef>
              <c:f>Harmonogram!$B$3:$C$107</c:f>
              <c:multiLvlStrCache>
                <c:ptCount val="20"/>
                <c:lvl>
                  <c:pt idx="0">
                    <c:v>Analýza a dizajn</c:v>
                  </c:pt>
                  <c:pt idx="1">
                    <c:v>Nákupo HW a krabicový SW</c:v>
                  </c:pt>
                  <c:pt idx="2">
                    <c:v>Implementácia</c:v>
                  </c:pt>
                  <c:pt idx="3">
                    <c:v>Testovanie</c:v>
                  </c:pt>
                  <c:pt idx="4">
                    <c:v>Nasadenie</c:v>
                  </c:pt>
                  <c:pt idx="5">
                    <c:v>Analýza a dizajn</c:v>
                  </c:pt>
                  <c:pt idx="6">
                    <c:v>Nákupo HW a krabicový SW</c:v>
                  </c:pt>
                  <c:pt idx="7">
                    <c:v>Implementácia</c:v>
                  </c:pt>
                  <c:pt idx="8">
                    <c:v>Testovanie</c:v>
                  </c:pt>
                  <c:pt idx="9">
                    <c:v>Nasadenie</c:v>
                  </c:pt>
                  <c:pt idx="10">
                    <c:v>Analýza a dizajn</c:v>
                  </c:pt>
                  <c:pt idx="11">
                    <c:v>Nákupo HW a krabicový SW</c:v>
                  </c:pt>
                  <c:pt idx="12">
                    <c:v>Implementácia</c:v>
                  </c:pt>
                  <c:pt idx="13">
                    <c:v>Testovanie</c:v>
                  </c:pt>
                  <c:pt idx="14">
                    <c:v>Nasadenie</c:v>
                  </c:pt>
                  <c:pt idx="15">
                    <c:v>Analýza a dizajn</c:v>
                  </c:pt>
                  <c:pt idx="16">
                    <c:v>Nákupo HW a krabicový SW</c:v>
                  </c:pt>
                  <c:pt idx="17">
                    <c:v>Implementácia</c:v>
                  </c:pt>
                  <c:pt idx="18">
                    <c:v>Testovanie</c:v>
                  </c:pt>
                  <c:pt idx="19">
                    <c:v>Nasadenie</c:v>
                  </c:pt>
                </c:lvl>
                <c:lvl>
                  <c:pt idx="0">
                    <c:v>Centrálny informačný systém na riadenie IT aktív</c:v>
                  </c:pt>
                  <c:pt idx="5">
                    <c:v>Snow Risk Monitor</c:v>
                  </c:pt>
                  <c:pt idx="10">
                    <c:v>BizzDesign / APM</c:v>
                  </c:pt>
                  <c:pt idx="15">
                    <c:v>FinOps platforma</c:v>
                  </c:pt>
                </c:lvl>
              </c:multiLvlStrCache>
            </c:multiLvlStrRef>
          </c:cat>
          <c:val>
            <c:numRef>
              <c:f>Harmonogram!$H$3:$H$107</c:f>
              <c:numCache>
                <c:formatCode>General</c:formatCode>
                <c:ptCount val="105"/>
                <c:pt idx="0">
                  <c:v>0</c:v>
                </c:pt>
                <c:pt idx="1">
                  <c:v>-1</c:v>
                </c:pt>
                <c:pt idx="2">
                  <c:v>-1</c:v>
                </c:pt>
                <c:pt idx="3">
                  <c:v>-1</c:v>
                </c:pt>
                <c:pt idx="4">
                  <c:v>-1</c:v>
                </c:pt>
                <c:pt idx="5">
                  <c:v>0</c:v>
                </c:pt>
                <c:pt idx="6">
                  <c:v>-1</c:v>
                </c:pt>
                <c:pt idx="7">
                  <c:v>-1</c:v>
                </c:pt>
                <c:pt idx="8">
                  <c:v>-1</c:v>
                </c:pt>
                <c:pt idx="9">
                  <c:v>-1</c:v>
                </c:pt>
                <c:pt idx="10">
                  <c:v>0</c:v>
                </c:pt>
                <c:pt idx="11">
                  <c:v>-1</c:v>
                </c:pt>
                <c:pt idx="12">
                  <c:v>-1</c:v>
                </c:pt>
                <c:pt idx="13">
                  <c:v>-1</c:v>
                </c:pt>
                <c:pt idx="14">
                  <c:v>-1</c:v>
                </c:pt>
                <c:pt idx="15">
                  <c:v>0</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numCache>
            </c:numRef>
          </c:val>
          <c:extLst>
            <c:ext xmlns:c16="http://schemas.microsoft.com/office/drawing/2014/chart" uri="{C3380CC4-5D6E-409C-BE32-E72D297353CC}">
              <c16:uniqueId val="{00000000-1BEF-452E-B8C6-F82A3524DD3D}"/>
            </c:ext>
          </c:extLst>
        </c:ser>
        <c:ser>
          <c:idx val="1"/>
          <c:order val="1"/>
          <c:spPr>
            <a:solidFill>
              <a:schemeClr val="tx2">
                <a:lumMod val="75000"/>
              </a:schemeClr>
            </a:solidFill>
            <a:ln>
              <a:noFill/>
            </a:ln>
            <a:effectLst/>
          </c:spPr>
          <c:invertIfNegative val="0"/>
          <c:cat>
            <c:multiLvlStrRef>
              <c:f>Harmonogram!$B$3:$C$107</c:f>
              <c:multiLvlStrCache>
                <c:ptCount val="20"/>
                <c:lvl>
                  <c:pt idx="0">
                    <c:v>Analýza a dizajn</c:v>
                  </c:pt>
                  <c:pt idx="1">
                    <c:v>Nákupo HW a krabicový SW</c:v>
                  </c:pt>
                  <c:pt idx="2">
                    <c:v>Implementácia</c:v>
                  </c:pt>
                  <c:pt idx="3">
                    <c:v>Testovanie</c:v>
                  </c:pt>
                  <c:pt idx="4">
                    <c:v>Nasadenie</c:v>
                  </c:pt>
                  <c:pt idx="5">
                    <c:v>Analýza a dizajn</c:v>
                  </c:pt>
                  <c:pt idx="6">
                    <c:v>Nákupo HW a krabicový SW</c:v>
                  </c:pt>
                  <c:pt idx="7">
                    <c:v>Implementácia</c:v>
                  </c:pt>
                  <c:pt idx="8">
                    <c:v>Testovanie</c:v>
                  </c:pt>
                  <c:pt idx="9">
                    <c:v>Nasadenie</c:v>
                  </c:pt>
                  <c:pt idx="10">
                    <c:v>Analýza a dizajn</c:v>
                  </c:pt>
                  <c:pt idx="11">
                    <c:v>Nákupo HW a krabicový SW</c:v>
                  </c:pt>
                  <c:pt idx="12">
                    <c:v>Implementácia</c:v>
                  </c:pt>
                  <c:pt idx="13">
                    <c:v>Testovanie</c:v>
                  </c:pt>
                  <c:pt idx="14">
                    <c:v>Nasadenie</c:v>
                  </c:pt>
                  <c:pt idx="15">
                    <c:v>Analýza a dizajn</c:v>
                  </c:pt>
                  <c:pt idx="16">
                    <c:v>Nákupo HW a krabicový SW</c:v>
                  </c:pt>
                  <c:pt idx="17">
                    <c:v>Implementácia</c:v>
                  </c:pt>
                  <c:pt idx="18">
                    <c:v>Testovanie</c:v>
                  </c:pt>
                  <c:pt idx="19">
                    <c:v>Nasadenie</c:v>
                  </c:pt>
                </c:lvl>
                <c:lvl>
                  <c:pt idx="0">
                    <c:v>Centrálny informačný systém na riadenie IT aktív</c:v>
                  </c:pt>
                  <c:pt idx="5">
                    <c:v>Snow Risk Monitor</c:v>
                  </c:pt>
                  <c:pt idx="10">
                    <c:v>BizzDesign / APM</c:v>
                  </c:pt>
                  <c:pt idx="15">
                    <c:v>FinOps platforma</c:v>
                  </c:pt>
                </c:lvl>
              </c:multiLvlStrCache>
            </c:multiLvlStrRef>
          </c:cat>
          <c:val>
            <c:numRef>
              <c:f>Harmonogram!$I$3:$I$107</c:f>
              <c:numCache>
                <c:formatCode>General</c:formatCode>
                <c:ptCount val="105"/>
                <c:pt idx="4">
                  <c:v>37</c:v>
                </c:pt>
                <c:pt idx="9">
                  <c:v>37</c:v>
                </c:pt>
                <c:pt idx="14">
                  <c:v>37</c:v>
                </c:pt>
                <c:pt idx="19">
                  <c:v>37</c:v>
                </c:pt>
                <c:pt idx="24">
                  <c:v>1</c:v>
                </c:pt>
                <c:pt idx="29">
                  <c:v>1</c:v>
                </c:pt>
                <c:pt idx="34">
                  <c:v>1</c:v>
                </c:pt>
                <c:pt idx="39">
                  <c:v>1</c:v>
                </c:pt>
                <c:pt idx="44">
                  <c:v>1</c:v>
                </c:pt>
                <c:pt idx="49">
                  <c:v>1</c:v>
                </c:pt>
                <c:pt idx="54">
                  <c:v>1</c:v>
                </c:pt>
                <c:pt idx="59">
                  <c:v>1</c:v>
                </c:pt>
                <c:pt idx="64">
                  <c:v>1</c:v>
                </c:pt>
                <c:pt idx="69">
                  <c:v>1</c:v>
                </c:pt>
                <c:pt idx="74">
                  <c:v>1</c:v>
                </c:pt>
                <c:pt idx="79">
                  <c:v>1</c:v>
                </c:pt>
                <c:pt idx="84">
                  <c:v>1</c:v>
                </c:pt>
                <c:pt idx="89">
                  <c:v>1</c:v>
                </c:pt>
                <c:pt idx="94">
                  <c:v>1</c:v>
                </c:pt>
                <c:pt idx="99">
                  <c:v>1</c:v>
                </c:pt>
                <c:pt idx="104">
                  <c:v>1</c:v>
                </c:pt>
              </c:numCache>
            </c:numRef>
          </c:val>
          <c:extLst>
            <c:ext xmlns:c16="http://schemas.microsoft.com/office/drawing/2014/chart" uri="{C3380CC4-5D6E-409C-BE32-E72D297353CC}">
              <c16:uniqueId val="{00000003-1BEF-452E-B8C6-F82A3524DD3D}"/>
            </c:ext>
          </c:extLst>
        </c:ser>
        <c:dLbls>
          <c:showLegendKey val="0"/>
          <c:showVal val="0"/>
          <c:showCatName val="0"/>
          <c:showSerName val="0"/>
          <c:showPercent val="0"/>
          <c:showBubbleSize val="0"/>
        </c:dLbls>
        <c:gapWidth val="150"/>
        <c:overlap val="100"/>
        <c:axId val="315036191"/>
        <c:axId val="243043167"/>
      </c:barChart>
      <c:catAx>
        <c:axId val="31503619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3043167"/>
        <c:crosses val="autoZero"/>
        <c:auto val="1"/>
        <c:lblAlgn val="ctr"/>
        <c:lblOffset val="100"/>
        <c:noMultiLvlLbl val="0"/>
      </c:catAx>
      <c:valAx>
        <c:axId val="243043167"/>
        <c:scaling>
          <c:orientation val="minMax"/>
        </c:scaling>
        <c:delete val="0"/>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5036191"/>
        <c:crosses val="autoZero"/>
        <c:crossBetween val="between"/>
        <c:majorUnit val="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11</xdr:col>
      <xdr:colOff>7620</xdr:colOff>
      <xdr:row>1</xdr:row>
      <xdr:rowOff>91440</xdr:rowOff>
    </xdr:from>
    <xdr:to>
      <xdr:col>23</xdr:col>
      <xdr:colOff>502920</xdr:colOff>
      <xdr:row>107</xdr:row>
      <xdr:rowOff>53340</xdr:rowOff>
    </xdr:to>
    <xdr:graphicFrame macro="">
      <xdr:nvGraphicFramePr>
        <xdr:cNvPr id="2" name="Graf 1">
          <a:extLst>
            <a:ext uri="{FF2B5EF4-FFF2-40B4-BE49-F238E27FC236}">
              <a16:creationId xmlns:a16="http://schemas.microsoft.com/office/drawing/2014/main" id="{18A32D78-6FAE-47C1-8BC5-7F720AC5882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4</xdr:row>
      <xdr:rowOff>0</xdr:rowOff>
    </xdr:from>
    <xdr:to>
      <xdr:col>10</xdr:col>
      <xdr:colOff>26036</xdr:colOff>
      <xdr:row>32</xdr:row>
      <xdr:rowOff>18882</xdr:rowOff>
    </xdr:to>
    <xdr:pic>
      <xdr:nvPicPr>
        <xdr:cNvPr id="4" name="Obrázok 4">
          <a:extLst>
            <a:ext uri="{FF2B5EF4-FFF2-40B4-BE49-F238E27FC236}">
              <a16:creationId xmlns:a16="http://schemas.microsoft.com/office/drawing/2014/main" id="{F78A3125-D6E4-46BD-9FA2-D07C113F8E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698500"/>
          <a:ext cx="6064250" cy="49045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110968</xdr:colOff>
      <xdr:row>4</xdr:row>
      <xdr:rowOff>97312</xdr:rowOff>
    </xdr:from>
    <xdr:to>
      <xdr:col>26</xdr:col>
      <xdr:colOff>512563</xdr:colOff>
      <xdr:row>42</xdr:row>
      <xdr:rowOff>135255</xdr:rowOff>
    </xdr:to>
    <xdr:pic>
      <xdr:nvPicPr>
        <xdr:cNvPr id="5" name="Obrázok 5">
          <a:extLst>
            <a:ext uri="{FF2B5EF4-FFF2-40B4-BE49-F238E27FC236}">
              <a16:creationId xmlns:a16="http://schemas.microsoft.com/office/drawing/2014/main" id="{FD601E48-9C25-4A9D-AC36-103E2F5D8E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43468" y="795812"/>
          <a:ext cx="10063120" cy="66813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603249</xdr:colOff>
      <xdr:row>4</xdr:row>
      <xdr:rowOff>0</xdr:rowOff>
    </xdr:from>
    <xdr:to>
      <xdr:col>47</xdr:col>
      <xdr:colOff>479082</xdr:colOff>
      <xdr:row>40</xdr:row>
      <xdr:rowOff>142875</xdr:rowOff>
    </xdr:to>
    <xdr:pic>
      <xdr:nvPicPr>
        <xdr:cNvPr id="2" name="Picture 1">
          <a:extLst>
            <a:ext uri="{FF2B5EF4-FFF2-40B4-BE49-F238E27FC236}">
              <a16:creationId xmlns:a16="http://schemas.microsoft.com/office/drawing/2014/main" id="{4CA23844-F71D-D85B-54ED-8DB65A3CC7E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890999" y="698500"/>
          <a:ext cx="11940833" cy="6429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7ec55e5b485898c3/MIRRI_Dokumentacia/P_01_a_I_01_a_P_03_a_I_03_PRILOHA_KATALOG_POZIADAVIEK_mapovanie-a-zivotny-cyklus_Projekt_AA_OVM_BB_OsobaXY_DDMMYY_v0.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VINNE STANDARDY_ISVS"/>
      <sheetName val="KATALOG_POZIADAVKY"/>
      <sheetName val="FINAL_UCPA_Moduly"/>
      <sheetName val="MODULY"/>
      <sheetName val="TFC_v02"/>
      <sheetName val="ECF_v02"/>
      <sheetName val="UAW_v02"/>
      <sheetName val="INKREMENTY"/>
      <sheetName val="VZOR_OTAZKY DO VO"/>
      <sheetName val="VZOR_TESTOVANIE"/>
      <sheetName val="VZOR_POZIADAVKY PROCESY_EVS"/>
      <sheetName val="Skratky"/>
      <sheetName val="CISELNIK"/>
      <sheetName val="POVINNE_STANDARDY_ISVS"/>
      <sheetName val="VZOR_OTAZKY_DO_VO"/>
      <sheetName val="VZOR_POZIADAVKY_PROCESY_EVS"/>
      <sheetName val="POVINNE_STANDARDY_ISVS1"/>
      <sheetName val="VZOR_OTAZKY_DO_VO1"/>
      <sheetName val="VZOR_POZIADAVKY_PROCESY_EVS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
          <cell r="A2">
            <v>0</v>
          </cell>
          <cell r="B2" t="str">
            <v>Funkcna poziadavka</v>
          </cell>
        </row>
        <row r="3">
          <cell r="A3">
            <v>15</v>
          </cell>
          <cell r="B3" t="str">
            <v>Nefunkcna poziadavka</v>
          </cell>
        </row>
        <row r="4">
          <cell r="A4">
            <v>20</v>
          </cell>
          <cell r="B4" t="str">
            <v>Technicka poziadavka</v>
          </cell>
        </row>
        <row r="5">
          <cell r="A5">
            <v>25</v>
          </cell>
        </row>
        <row r="6">
          <cell r="A6">
            <v>30</v>
          </cell>
        </row>
      </sheetData>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https://mirri.gov.sk/" TargetMode="External"/><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xml"/><Relationship Id="rId1" Type="http://schemas.openxmlformats.org/officeDocument/2006/relationships/printerSettings" Target="../printerSettings/printerSettings21.bin"/><Relationship Id="rId4" Type="http://schemas.openxmlformats.org/officeDocument/2006/relationships/comments" Target="../comments14.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árok1">
    <tabColor rgb="FFFFFF00"/>
  </sheetPr>
  <dimension ref="A1:R40"/>
  <sheetViews>
    <sheetView tabSelected="1" zoomScaleNormal="100" workbookViewId="0"/>
  </sheetViews>
  <sheetFormatPr defaultColWidth="8.7109375" defaultRowHeight="15"/>
  <cols>
    <col min="2" max="2" width="11.7109375" customWidth="1"/>
    <col min="4" max="4" width="6.42578125" customWidth="1"/>
    <col min="6" max="6" width="7.7109375" customWidth="1"/>
    <col min="7" max="7" width="12.28515625" customWidth="1"/>
    <col min="8" max="8" width="6" customWidth="1"/>
    <col min="9" max="9" width="14.28515625" customWidth="1"/>
  </cols>
  <sheetData>
    <row r="1" spans="1:18">
      <c r="A1" s="34"/>
      <c r="B1" s="34"/>
      <c r="C1" s="34"/>
      <c r="D1" s="34"/>
      <c r="E1" s="34"/>
      <c r="F1" s="34"/>
      <c r="G1" s="34"/>
      <c r="H1" s="34"/>
      <c r="I1" s="34"/>
      <c r="J1" s="236"/>
      <c r="K1" s="237"/>
      <c r="L1" s="237"/>
      <c r="M1" s="237"/>
      <c r="N1" s="237"/>
      <c r="O1" s="237"/>
      <c r="P1" s="237"/>
      <c r="Q1" s="237"/>
      <c r="R1" s="237"/>
    </row>
    <row r="2" spans="1:18">
      <c r="A2" s="34"/>
      <c r="B2" s="34"/>
      <c r="C2" s="34"/>
      <c r="D2" s="34"/>
      <c r="E2" s="34"/>
      <c r="F2" s="34"/>
      <c r="G2" s="34"/>
      <c r="H2" s="34"/>
      <c r="I2" s="34"/>
      <c r="J2" s="237"/>
      <c r="K2" s="237"/>
      <c r="L2" s="237"/>
      <c r="M2" s="237"/>
      <c r="N2" s="237"/>
      <c r="O2" s="237"/>
      <c r="P2" s="237"/>
      <c r="Q2" s="237"/>
      <c r="R2" s="237"/>
    </row>
    <row r="3" spans="1:18" ht="15" customHeight="1">
      <c r="A3" s="34"/>
      <c r="B3" s="34"/>
      <c r="C3" s="34"/>
      <c r="D3" s="34"/>
      <c r="E3" s="34"/>
      <c r="F3" s="34"/>
      <c r="G3" s="34"/>
      <c r="H3" s="34"/>
      <c r="I3" s="34"/>
      <c r="J3" s="237"/>
      <c r="K3" s="237"/>
      <c r="L3" s="237"/>
      <c r="M3" s="237"/>
      <c r="N3" s="237"/>
      <c r="O3" s="237"/>
      <c r="P3" s="237"/>
      <c r="Q3" s="237"/>
      <c r="R3" s="237"/>
    </row>
    <row r="4" spans="1:18" ht="15" customHeight="1">
      <c r="A4" s="34"/>
      <c r="B4" s="34"/>
      <c r="C4" s="34"/>
      <c r="D4" s="34"/>
      <c r="E4" s="34"/>
      <c r="F4" s="34"/>
      <c r="G4" s="34"/>
      <c r="H4" s="34"/>
      <c r="I4" s="34"/>
      <c r="J4" s="237"/>
      <c r="K4" s="237"/>
      <c r="L4" s="237"/>
      <c r="M4" s="237"/>
      <c r="N4" s="237"/>
      <c r="O4" s="237"/>
      <c r="P4" s="237"/>
      <c r="Q4" s="237"/>
      <c r="R4" s="237"/>
    </row>
    <row r="5" spans="1:18">
      <c r="A5" s="34"/>
      <c r="B5" s="34"/>
      <c r="C5" s="34"/>
      <c r="D5" s="34"/>
      <c r="E5" s="34"/>
      <c r="F5" s="34"/>
      <c r="G5" s="34"/>
      <c r="H5" s="34"/>
      <c r="I5" s="34"/>
      <c r="J5" s="237"/>
      <c r="K5" s="237"/>
      <c r="L5" s="237"/>
      <c r="M5" s="237"/>
      <c r="N5" s="237"/>
      <c r="O5" s="237"/>
      <c r="P5" s="237"/>
      <c r="Q5" s="237"/>
      <c r="R5" s="237"/>
    </row>
    <row r="6" spans="1:18" ht="57.75" customHeight="1">
      <c r="A6" s="677" t="s">
        <v>530</v>
      </c>
      <c r="B6" s="677"/>
      <c r="C6" s="677"/>
      <c r="D6" s="677"/>
      <c r="E6" s="677"/>
      <c r="F6" s="677"/>
      <c r="G6" s="677"/>
      <c r="H6" s="677"/>
      <c r="I6" s="677"/>
      <c r="J6" s="237"/>
      <c r="K6" s="237"/>
      <c r="L6" s="237"/>
      <c r="M6" s="237"/>
      <c r="N6" s="237"/>
      <c r="O6" s="237"/>
      <c r="P6" s="237"/>
      <c r="Q6" s="237"/>
      <c r="R6" s="237"/>
    </row>
    <row r="7" spans="1:18">
      <c r="A7" s="678"/>
      <c r="B7" s="678"/>
      <c r="C7" s="678"/>
      <c r="D7" s="678"/>
      <c r="E7" s="678"/>
      <c r="F7" s="678"/>
      <c r="G7" s="678"/>
      <c r="H7" s="678"/>
      <c r="I7" s="678"/>
      <c r="J7" s="237"/>
      <c r="K7" s="648" t="s">
        <v>779</v>
      </c>
      <c r="L7" s="237"/>
      <c r="M7" s="237"/>
      <c r="N7" s="237"/>
      <c r="O7" s="237"/>
      <c r="P7" s="237"/>
      <c r="Q7" s="237"/>
      <c r="R7" s="237"/>
    </row>
    <row r="8" spans="1:18" ht="3.75" customHeight="1">
      <c r="A8" s="678"/>
      <c r="B8" s="678"/>
      <c r="C8" s="678"/>
      <c r="D8" s="678"/>
      <c r="E8" s="678"/>
      <c r="F8" s="678"/>
      <c r="G8" s="678"/>
      <c r="H8" s="678"/>
      <c r="I8" s="678"/>
      <c r="J8" s="237"/>
      <c r="K8" s="237"/>
      <c r="L8" s="237"/>
      <c r="M8" s="237"/>
      <c r="N8" s="237"/>
      <c r="O8" s="237"/>
      <c r="P8" s="237"/>
      <c r="Q8" s="237"/>
      <c r="R8" s="237"/>
    </row>
    <row r="9" spans="1:18" ht="14.25" hidden="1" customHeight="1">
      <c r="A9" s="678"/>
      <c r="B9" s="678"/>
      <c r="C9" s="678"/>
      <c r="D9" s="678"/>
      <c r="E9" s="678"/>
      <c r="F9" s="678"/>
      <c r="G9" s="678"/>
      <c r="H9" s="678"/>
      <c r="I9" s="678"/>
      <c r="J9" s="237"/>
      <c r="K9" s="237"/>
      <c r="L9" s="237"/>
      <c r="M9" s="237"/>
      <c r="N9" s="237"/>
      <c r="O9" s="237"/>
      <c r="P9" s="237"/>
      <c r="Q9" s="237"/>
      <c r="R9" s="237"/>
    </row>
    <row r="10" spans="1:18" ht="15" customHeight="1">
      <c r="A10" s="34"/>
      <c r="B10" s="34"/>
      <c r="C10" s="34"/>
      <c r="D10" s="34"/>
      <c r="E10" s="34"/>
      <c r="F10" s="34"/>
      <c r="G10" s="34"/>
      <c r="H10" s="34"/>
      <c r="I10" s="34"/>
      <c r="J10" s="237"/>
      <c r="K10" s="237"/>
      <c r="L10" s="237"/>
      <c r="M10" s="237"/>
      <c r="N10" s="237"/>
      <c r="O10" s="237"/>
      <c r="P10" s="237"/>
      <c r="Q10" s="237"/>
      <c r="R10" s="237"/>
    </row>
    <row r="11" spans="1:18">
      <c r="B11" s="34"/>
      <c r="C11" s="34"/>
      <c r="D11" s="34"/>
      <c r="E11" s="34"/>
      <c r="F11" s="34"/>
      <c r="G11" s="34"/>
      <c r="H11" s="34"/>
      <c r="I11" s="34"/>
      <c r="J11" s="237"/>
      <c r="K11" s="237"/>
      <c r="L11" s="237"/>
      <c r="M11" s="237"/>
      <c r="N11" s="237"/>
      <c r="O11" s="237"/>
      <c r="P11" s="237"/>
      <c r="Q11" s="237"/>
      <c r="R11" s="237"/>
    </row>
    <row r="12" spans="1:18" ht="15.75" thickBot="1">
      <c r="B12" s="34"/>
      <c r="C12" s="34"/>
      <c r="D12" s="34"/>
      <c r="E12" s="34"/>
      <c r="F12" s="34"/>
      <c r="G12" s="34"/>
      <c r="H12" s="34"/>
      <c r="I12" s="34"/>
      <c r="J12" s="237"/>
      <c r="K12" s="237"/>
      <c r="L12" s="237"/>
      <c r="M12" s="237"/>
      <c r="N12" s="237"/>
      <c r="O12" s="237"/>
      <c r="P12" s="237"/>
      <c r="Q12" s="237"/>
      <c r="R12" s="237"/>
    </row>
    <row r="13" spans="1:18" ht="16.5">
      <c r="A13" s="683" t="s">
        <v>110</v>
      </c>
      <c r="B13" s="684"/>
      <c r="C13" s="685" t="s">
        <v>1104</v>
      </c>
      <c r="D13" s="685"/>
      <c r="E13" s="685"/>
      <c r="F13" s="685"/>
      <c r="G13" s="685"/>
      <c r="H13" s="685"/>
      <c r="I13" s="686"/>
      <c r="J13" s="237"/>
      <c r="K13" s="237"/>
      <c r="L13" s="237"/>
      <c r="M13" s="237"/>
      <c r="N13" s="237"/>
      <c r="O13" s="237"/>
      <c r="P13" s="237"/>
      <c r="Q13" s="237"/>
      <c r="R13" s="237"/>
    </row>
    <row r="14" spans="1:18" ht="16.5">
      <c r="A14" s="679" t="s">
        <v>113</v>
      </c>
      <c r="B14" s="680"/>
      <c r="C14" s="681"/>
      <c r="D14" s="681"/>
      <c r="E14" s="681"/>
      <c r="F14" s="681"/>
      <c r="G14" s="681"/>
      <c r="H14" s="681"/>
      <c r="I14" s="682"/>
      <c r="J14" s="237"/>
      <c r="K14" s="237"/>
      <c r="L14" s="237"/>
      <c r="M14" s="237"/>
      <c r="N14" s="237"/>
      <c r="O14" s="237"/>
      <c r="P14" s="237"/>
      <c r="Q14" s="237"/>
      <c r="R14" s="237"/>
    </row>
    <row r="15" spans="1:18" ht="30.75" customHeight="1">
      <c r="A15" s="679" t="s">
        <v>531</v>
      </c>
      <c r="B15" s="680"/>
      <c r="C15" s="681"/>
      <c r="D15" s="681"/>
      <c r="E15" s="681"/>
      <c r="F15" s="681"/>
      <c r="G15" s="681"/>
      <c r="H15" s="681"/>
      <c r="I15" s="682"/>
      <c r="J15" s="237"/>
      <c r="K15" s="237"/>
      <c r="L15" s="237"/>
      <c r="M15" s="237"/>
      <c r="N15" s="237"/>
      <c r="O15" s="237"/>
      <c r="P15" s="237"/>
      <c r="Q15" s="237"/>
      <c r="R15" s="237"/>
    </row>
    <row r="16" spans="1:18" ht="14.65" customHeight="1">
      <c r="A16" s="679" t="s">
        <v>51</v>
      </c>
      <c r="B16" s="680"/>
      <c r="C16" s="681" t="s">
        <v>1096</v>
      </c>
      <c r="D16" s="681"/>
      <c r="E16" s="681"/>
      <c r="F16" s="681"/>
      <c r="G16" s="681"/>
      <c r="H16" s="681"/>
      <c r="I16" s="682"/>
      <c r="J16" s="237"/>
      <c r="K16" s="237"/>
      <c r="L16" s="237"/>
      <c r="M16" s="237"/>
      <c r="N16" s="237"/>
      <c r="O16" s="237"/>
      <c r="P16" s="237"/>
      <c r="Q16" s="237"/>
      <c r="R16" s="237"/>
    </row>
    <row r="17" spans="1:18" ht="16.5">
      <c r="A17" s="679" t="s">
        <v>52</v>
      </c>
      <c r="B17" s="680"/>
      <c r="C17" s="681" t="s">
        <v>1097</v>
      </c>
      <c r="D17" s="681"/>
      <c r="E17" s="681"/>
      <c r="F17" s="681"/>
      <c r="G17" s="681"/>
      <c r="H17" s="681"/>
      <c r="I17" s="682"/>
      <c r="J17" s="237"/>
      <c r="K17" s="237"/>
      <c r="L17" s="237"/>
      <c r="M17" s="237"/>
      <c r="N17" s="237"/>
      <c r="O17" s="237"/>
      <c r="P17" s="237"/>
      <c r="Q17" s="237"/>
      <c r="R17" s="237"/>
    </row>
    <row r="18" spans="1:18" ht="16.5">
      <c r="A18" s="679" t="s">
        <v>53</v>
      </c>
      <c r="B18" s="680"/>
      <c r="C18" s="681" t="s">
        <v>1098</v>
      </c>
      <c r="D18" s="681"/>
      <c r="E18" s="681"/>
      <c r="F18" s="681"/>
      <c r="G18" s="681"/>
      <c r="H18" s="681"/>
      <c r="I18" s="682"/>
      <c r="J18" s="237"/>
      <c r="K18" s="237"/>
      <c r="L18" s="237"/>
      <c r="M18" s="237"/>
      <c r="N18" s="237"/>
      <c r="O18" s="237"/>
      <c r="P18" s="237"/>
      <c r="Q18" s="237"/>
      <c r="R18" s="237"/>
    </row>
    <row r="19" spans="1:18" ht="16.5">
      <c r="A19" s="679" t="s">
        <v>54</v>
      </c>
      <c r="B19" s="680"/>
      <c r="C19" s="687" t="s">
        <v>1101</v>
      </c>
      <c r="D19" s="681"/>
      <c r="E19" s="681"/>
      <c r="F19" s="681"/>
      <c r="G19" s="681"/>
      <c r="H19" s="681"/>
      <c r="I19" s="682"/>
      <c r="J19" s="237"/>
      <c r="K19" s="237"/>
      <c r="L19" s="237"/>
      <c r="M19" s="237"/>
      <c r="N19" s="237"/>
      <c r="O19" s="237"/>
      <c r="P19" s="237"/>
      <c r="Q19" s="237"/>
      <c r="R19" s="237"/>
    </row>
    <row r="20" spans="1:18" ht="16.5">
      <c r="A20" s="679" t="s">
        <v>55</v>
      </c>
      <c r="B20" s="680"/>
      <c r="C20" s="681">
        <v>50349287</v>
      </c>
      <c r="D20" s="681"/>
      <c r="E20" s="681"/>
      <c r="F20" s="681"/>
      <c r="G20" s="681"/>
      <c r="H20" s="681"/>
      <c r="I20" s="682"/>
      <c r="J20" s="237"/>
      <c r="K20" s="237"/>
      <c r="L20" s="237"/>
      <c r="M20" s="237"/>
      <c r="N20" s="237"/>
      <c r="O20" s="237"/>
      <c r="P20" s="237"/>
      <c r="Q20" s="237"/>
      <c r="R20" s="237"/>
    </row>
    <row r="21" spans="1:18" ht="19.149999999999999" customHeight="1">
      <c r="A21" s="679" t="s">
        <v>56</v>
      </c>
      <c r="B21" s="680"/>
      <c r="C21" s="696" t="s">
        <v>1099</v>
      </c>
      <c r="D21" s="696"/>
      <c r="E21" s="696"/>
      <c r="F21" s="696"/>
      <c r="G21" s="696"/>
      <c r="H21" s="696"/>
      <c r="I21" s="697"/>
      <c r="J21" s="237"/>
      <c r="K21" s="237"/>
      <c r="L21" s="237"/>
      <c r="M21" s="237"/>
      <c r="N21" s="237"/>
      <c r="O21" s="237"/>
      <c r="P21" s="237"/>
      <c r="Q21" s="237"/>
      <c r="R21" s="237"/>
    </row>
    <row r="22" spans="1:18" ht="33" customHeight="1" thickBot="1">
      <c r="A22" s="698" t="s">
        <v>57</v>
      </c>
      <c r="B22" s="699"/>
      <c r="C22" s="700" t="s">
        <v>1100</v>
      </c>
      <c r="D22" s="701"/>
      <c r="E22" s="701"/>
      <c r="F22" s="701"/>
      <c r="G22" s="701"/>
      <c r="H22" s="701"/>
      <c r="I22" s="702"/>
      <c r="J22" s="237"/>
      <c r="K22" s="237"/>
      <c r="L22" s="237"/>
      <c r="M22" s="237"/>
      <c r="N22" s="237"/>
      <c r="O22" s="237"/>
      <c r="P22" s="237"/>
      <c r="Q22" s="237"/>
      <c r="R22" s="237"/>
    </row>
    <row r="23" spans="1:18">
      <c r="A23" s="34"/>
      <c r="B23" s="34"/>
      <c r="C23" s="34"/>
      <c r="D23" s="34"/>
      <c r="E23" s="34"/>
      <c r="F23" s="34"/>
      <c r="G23" s="34"/>
      <c r="H23" s="34"/>
      <c r="I23" s="34"/>
      <c r="J23" s="237"/>
      <c r="K23" s="237"/>
      <c r="L23" s="237"/>
      <c r="M23" s="237"/>
      <c r="N23" s="237"/>
      <c r="O23" s="237"/>
      <c r="P23" s="237"/>
      <c r="Q23" s="237"/>
      <c r="R23" s="237"/>
    </row>
    <row r="24" spans="1:18" ht="15.75" thickBot="1">
      <c r="A24" s="703" t="s">
        <v>60</v>
      </c>
      <c r="B24" s="703"/>
      <c r="C24" s="703"/>
      <c r="D24" s="703"/>
      <c r="E24" s="703"/>
      <c r="F24" s="703"/>
      <c r="G24" s="703"/>
      <c r="H24" s="703"/>
      <c r="I24" s="703"/>
      <c r="J24" s="237"/>
      <c r="K24" s="237"/>
      <c r="L24" s="237"/>
      <c r="M24" s="237"/>
      <c r="N24" s="237"/>
      <c r="O24" s="237"/>
      <c r="P24" s="237"/>
      <c r="Q24" s="237"/>
      <c r="R24" s="237"/>
    </row>
    <row r="25" spans="1:18" ht="14.65" customHeight="1">
      <c r="A25" s="704" t="s">
        <v>58</v>
      </c>
      <c r="B25" s="705"/>
      <c r="C25" s="708" t="s">
        <v>59</v>
      </c>
      <c r="D25" s="708"/>
      <c r="E25" s="710" t="s">
        <v>61</v>
      </c>
      <c r="F25" s="710"/>
      <c r="G25" s="692" t="s">
        <v>62</v>
      </c>
      <c r="H25" s="692"/>
      <c r="I25" s="694" t="s">
        <v>63</v>
      </c>
      <c r="J25" s="237"/>
      <c r="K25" s="237"/>
      <c r="L25" s="237"/>
      <c r="M25" s="237"/>
      <c r="N25" s="237"/>
      <c r="O25" s="237"/>
      <c r="P25" s="237"/>
      <c r="Q25" s="237"/>
      <c r="R25" s="237"/>
    </row>
    <row r="26" spans="1:18" ht="15.75" thickBot="1">
      <c r="A26" s="706"/>
      <c r="B26" s="707"/>
      <c r="C26" s="709"/>
      <c r="D26" s="709"/>
      <c r="E26" s="711"/>
      <c r="F26" s="711"/>
      <c r="G26" s="693"/>
      <c r="H26" s="693"/>
      <c r="I26" s="695"/>
      <c r="J26" s="237"/>
      <c r="K26" s="237"/>
      <c r="L26" s="237"/>
      <c r="M26" s="237"/>
      <c r="N26" s="237"/>
      <c r="O26" s="237"/>
      <c r="P26" s="237"/>
      <c r="Q26" s="237"/>
      <c r="R26" s="237"/>
    </row>
    <row r="27" spans="1:18">
      <c r="A27" s="574"/>
      <c r="B27" s="574"/>
      <c r="C27" s="688" t="s">
        <v>515</v>
      </c>
      <c r="D27" s="689"/>
      <c r="E27" s="574"/>
      <c r="F27" s="574"/>
      <c r="G27" s="574"/>
      <c r="H27" s="574"/>
      <c r="I27" s="574"/>
      <c r="J27" s="237"/>
      <c r="K27" s="237"/>
      <c r="L27" s="237"/>
      <c r="M27" s="237"/>
      <c r="N27" s="237"/>
      <c r="O27" s="237"/>
      <c r="P27" s="237"/>
      <c r="Q27" s="237"/>
      <c r="R27" s="237"/>
    </row>
    <row r="28" spans="1:18" ht="15.75" thickBot="1">
      <c r="A28" s="575"/>
      <c r="B28" s="575"/>
      <c r="C28" s="690"/>
      <c r="D28" s="691"/>
      <c r="E28" s="575"/>
      <c r="F28" s="575"/>
      <c r="G28" s="575"/>
      <c r="H28" s="575"/>
      <c r="I28" s="575"/>
      <c r="J28" s="237"/>
      <c r="K28" s="237"/>
      <c r="L28" s="237"/>
      <c r="M28" s="237"/>
      <c r="N28" s="237"/>
      <c r="O28" s="237"/>
      <c r="P28" s="237"/>
      <c r="Q28" s="237"/>
      <c r="R28" s="237"/>
    </row>
    <row r="29" spans="1:18">
      <c r="A29" s="575"/>
      <c r="B29" s="575"/>
      <c r="C29" s="575"/>
      <c r="D29" s="575"/>
      <c r="E29" s="575"/>
      <c r="F29" s="575"/>
      <c r="G29" s="575"/>
      <c r="H29" s="575"/>
      <c r="I29" s="575"/>
      <c r="J29" s="237"/>
      <c r="K29" s="237"/>
      <c r="L29" s="237"/>
      <c r="M29" s="237"/>
      <c r="N29" s="237"/>
      <c r="O29" s="237"/>
      <c r="P29" s="237"/>
      <c r="Q29" s="237"/>
      <c r="R29" s="237"/>
    </row>
    <row r="30" spans="1:18">
      <c r="A30" s="78"/>
      <c r="B30" s="78"/>
      <c r="C30" s="34"/>
      <c r="D30" s="34"/>
      <c r="E30" s="34"/>
      <c r="F30" s="34"/>
      <c r="G30" s="34"/>
      <c r="H30" s="34"/>
      <c r="I30" s="34"/>
      <c r="J30" s="237"/>
      <c r="K30" s="237"/>
      <c r="L30" s="237"/>
      <c r="M30" s="237"/>
      <c r="N30" s="237"/>
      <c r="O30" s="237"/>
      <c r="P30" s="237"/>
      <c r="Q30" s="237"/>
      <c r="R30" s="237"/>
    </row>
    <row r="31" spans="1:18">
      <c r="A31" s="34"/>
      <c r="B31" s="34"/>
      <c r="C31" s="34"/>
      <c r="D31" s="34"/>
      <c r="E31" s="34"/>
      <c r="F31" s="34"/>
      <c r="G31" s="34"/>
      <c r="H31" s="34"/>
      <c r="I31" s="34"/>
      <c r="J31" s="237"/>
      <c r="K31" s="237"/>
      <c r="L31" s="237"/>
      <c r="M31" s="237"/>
      <c r="N31" s="237"/>
      <c r="O31" s="237"/>
      <c r="P31" s="237"/>
      <c r="Q31" s="237"/>
      <c r="R31" s="237"/>
    </row>
    <row r="32" spans="1:18">
      <c r="A32" s="34"/>
      <c r="B32" s="34"/>
      <c r="C32" s="34"/>
      <c r="D32" s="34"/>
      <c r="E32" s="34"/>
      <c r="F32" s="34"/>
      <c r="G32" s="34"/>
      <c r="H32" s="34"/>
      <c r="I32" s="34"/>
      <c r="J32" s="237"/>
      <c r="K32" s="237"/>
      <c r="L32" s="237"/>
      <c r="M32" s="237"/>
      <c r="N32" s="237"/>
      <c r="O32" s="237"/>
      <c r="P32" s="237"/>
      <c r="Q32" s="237"/>
      <c r="R32" s="237"/>
    </row>
    <row r="33" spans="1:18">
      <c r="A33" s="34"/>
      <c r="B33" s="34"/>
      <c r="C33" s="34"/>
      <c r="D33" s="34"/>
      <c r="E33" s="34"/>
      <c r="F33" s="34"/>
      <c r="G33" s="34"/>
      <c r="H33" s="34"/>
      <c r="I33" s="34"/>
      <c r="J33" s="237"/>
      <c r="K33" s="237"/>
      <c r="L33" s="237"/>
      <c r="M33" s="237"/>
      <c r="N33" s="237"/>
      <c r="O33" s="237"/>
      <c r="P33" s="237"/>
      <c r="Q33" s="237"/>
      <c r="R33" s="237"/>
    </row>
    <row r="34" spans="1:18">
      <c r="A34" s="34"/>
      <c r="B34" s="34"/>
      <c r="C34" s="34"/>
      <c r="D34" s="34"/>
      <c r="E34" s="34"/>
      <c r="F34" s="34"/>
      <c r="G34" s="34"/>
      <c r="H34" s="34"/>
      <c r="I34" s="34"/>
      <c r="J34" s="237"/>
      <c r="K34" s="237"/>
      <c r="L34" s="237"/>
      <c r="M34" s="237"/>
      <c r="N34" s="237"/>
      <c r="O34" s="237"/>
      <c r="P34" s="237"/>
      <c r="Q34" s="237"/>
      <c r="R34" s="237"/>
    </row>
    <row r="35" spans="1:18">
      <c r="A35" s="34"/>
      <c r="B35" s="34"/>
      <c r="C35" s="34"/>
      <c r="D35" s="34"/>
      <c r="E35" s="34"/>
      <c r="F35" s="34"/>
      <c r="G35" s="34"/>
      <c r="H35" s="34"/>
      <c r="I35" s="34"/>
      <c r="J35" s="237"/>
      <c r="K35" s="237"/>
      <c r="L35" s="237"/>
      <c r="M35" s="237"/>
      <c r="N35" s="237"/>
      <c r="O35" s="237"/>
      <c r="P35" s="237"/>
      <c r="Q35" s="237"/>
      <c r="R35" s="237"/>
    </row>
    <row r="36" spans="1:18">
      <c r="A36" s="34"/>
      <c r="B36" s="34"/>
      <c r="C36" s="34"/>
      <c r="D36" s="34"/>
      <c r="E36" s="34"/>
      <c r="F36" s="34"/>
      <c r="G36" s="34"/>
      <c r="H36" s="34"/>
      <c r="I36" s="34"/>
      <c r="J36" s="237"/>
      <c r="K36" s="237"/>
      <c r="L36" s="237"/>
      <c r="M36" s="237"/>
      <c r="N36" s="237"/>
      <c r="O36" s="237"/>
      <c r="P36" s="237"/>
      <c r="Q36" s="237"/>
      <c r="R36" s="237"/>
    </row>
    <row r="37" spans="1:18">
      <c r="A37" s="34"/>
      <c r="B37" s="34"/>
      <c r="C37" s="34"/>
      <c r="D37" s="34"/>
      <c r="E37" s="34"/>
      <c r="F37" s="34"/>
      <c r="G37" s="34"/>
      <c r="H37" s="34"/>
      <c r="I37" s="34"/>
    </row>
    <row r="38" spans="1:18">
      <c r="A38" s="34"/>
      <c r="B38" s="34"/>
      <c r="C38" s="34"/>
      <c r="D38" s="34"/>
      <c r="E38" s="34"/>
      <c r="F38" s="34"/>
      <c r="G38" s="34"/>
      <c r="H38" s="34"/>
      <c r="I38" s="34"/>
    </row>
    <row r="39" spans="1:18">
      <c r="A39" s="34"/>
      <c r="B39" s="34"/>
      <c r="C39" s="34"/>
      <c r="D39" s="34"/>
      <c r="E39" s="34"/>
      <c r="F39" s="34"/>
      <c r="G39" s="34"/>
      <c r="H39" s="34"/>
      <c r="I39" s="34"/>
    </row>
    <row r="40" spans="1:18">
      <c r="A40" s="34"/>
      <c r="B40" s="34"/>
      <c r="C40" s="34"/>
      <c r="D40" s="34"/>
      <c r="E40" s="34"/>
      <c r="F40" s="34"/>
      <c r="G40" s="34"/>
      <c r="H40" s="34"/>
      <c r="I40" s="34"/>
    </row>
  </sheetData>
  <mergeCells count="28">
    <mergeCell ref="C27:D28"/>
    <mergeCell ref="G25:H26"/>
    <mergeCell ref="I25:I26"/>
    <mergeCell ref="A21:B21"/>
    <mergeCell ref="C21:I21"/>
    <mergeCell ref="A22:B22"/>
    <mergeCell ref="C22:I22"/>
    <mergeCell ref="A24:I24"/>
    <mergeCell ref="A25:B26"/>
    <mergeCell ref="C25:D26"/>
    <mergeCell ref="E25:F26"/>
    <mergeCell ref="A18:B18"/>
    <mergeCell ref="C18:I18"/>
    <mergeCell ref="A19:B19"/>
    <mergeCell ref="C19:I19"/>
    <mergeCell ref="A20:B20"/>
    <mergeCell ref="C20:I20"/>
    <mergeCell ref="A6:I9"/>
    <mergeCell ref="A16:B16"/>
    <mergeCell ref="C16:I16"/>
    <mergeCell ref="A17:B17"/>
    <mergeCell ref="C17:I17"/>
    <mergeCell ref="A13:B13"/>
    <mergeCell ref="C13:I13"/>
    <mergeCell ref="A14:B14"/>
    <mergeCell ref="C14:I14"/>
    <mergeCell ref="A15:B15"/>
    <mergeCell ref="C15:I15"/>
  </mergeCells>
  <hyperlinks>
    <hyperlink ref="C19" r:id="rId1" xr:uid="{CD2A15D5-0A51-4AEE-A3B0-274B6B6DB16A}"/>
  </hyperlinks>
  <pageMargins left="0.7" right="0.7" top="0.75" bottom="0.75" header="0.3" footer="0.3"/>
  <pageSetup paperSize="9" orientation="portrait"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C000"/>
  </sheetPr>
  <dimension ref="A1:G22"/>
  <sheetViews>
    <sheetView workbookViewId="0">
      <pane xSplit="1" ySplit="1" topLeftCell="B16" activePane="bottomRight" state="frozen"/>
      <selection pane="topRight" activeCell="B1" sqref="B1"/>
      <selection pane="bottomLeft" activeCell="A2" sqref="A2"/>
      <selection pane="bottomRight" activeCell="F22" sqref="F22"/>
    </sheetView>
  </sheetViews>
  <sheetFormatPr defaultColWidth="8.7109375" defaultRowHeight="12.75"/>
  <cols>
    <col min="1" max="1" width="8.7109375" style="618"/>
    <col min="2" max="7" width="33.28515625" style="618" customWidth="1"/>
    <col min="8" max="16384" width="8.7109375" style="618"/>
  </cols>
  <sheetData>
    <row r="1" spans="1:7">
      <c r="A1" s="618" t="s">
        <v>2</v>
      </c>
      <c r="B1" s="618">
        <v>0</v>
      </c>
      <c r="C1" s="618">
        <v>1</v>
      </c>
      <c r="D1" s="618">
        <v>2</v>
      </c>
      <c r="E1" s="618">
        <v>3</v>
      </c>
      <c r="F1" s="618">
        <v>4</v>
      </c>
      <c r="G1" s="618">
        <v>5</v>
      </c>
    </row>
    <row r="2" spans="1:7" ht="63.75">
      <c r="A2" s="618" t="s">
        <v>367</v>
      </c>
      <c r="B2" s="618" t="s">
        <v>543</v>
      </c>
      <c r="C2" s="618" t="s">
        <v>544</v>
      </c>
      <c r="D2" s="618" t="s">
        <v>545</v>
      </c>
      <c r="E2" s="618" t="s">
        <v>546</v>
      </c>
      <c r="F2" s="618" t="s">
        <v>547</v>
      </c>
      <c r="G2" s="618" t="s">
        <v>542</v>
      </c>
    </row>
    <row r="3" spans="1:7" ht="178.5">
      <c r="A3" s="618" t="s">
        <v>366</v>
      </c>
      <c r="B3" s="618" t="s">
        <v>548</v>
      </c>
      <c r="C3" s="618" t="s">
        <v>549</v>
      </c>
      <c r="D3" s="618" t="s">
        <v>550</v>
      </c>
      <c r="E3" s="618" t="s">
        <v>551</v>
      </c>
      <c r="F3" s="618" t="s">
        <v>553</v>
      </c>
      <c r="G3" s="618" t="s">
        <v>554</v>
      </c>
    </row>
    <row r="4" spans="1:7" ht="293.25">
      <c r="A4" s="618" t="s">
        <v>365</v>
      </c>
      <c r="B4" s="618" t="s">
        <v>556</v>
      </c>
      <c r="C4" s="618" t="s">
        <v>557</v>
      </c>
      <c r="D4" s="618" t="s">
        <v>558</v>
      </c>
      <c r="E4" s="618" t="s">
        <v>559</v>
      </c>
      <c r="F4" s="618" t="s">
        <v>560</v>
      </c>
      <c r="G4" s="618" t="s">
        <v>561</v>
      </c>
    </row>
    <row r="5" spans="1:7" ht="242.25">
      <c r="A5" s="618" t="s">
        <v>364</v>
      </c>
      <c r="B5" s="618" t="s">
        <v>562</v>
      </c>
      <c r="C5" s="618" t="s">
        <v>563</v>
      </c>
      <c r="D5" s="618" t="s">
        <v>564</v>
      </c>
      <c r="E5" s="618" t="s">
        <v>565</v>
      </c>
      <c r="F5" s="618" t="s">
        <v>566</v>
      </c>
      <c r="G5" s="618" t="s">
        <v>567</v>
      </c>
    </row>
    <row r="6" spans="1:7" ht="63.75">
      <c r="A6" s="618" t="s">
        <v>363</v>
      </c>
      <c r="B6" s="618" t="s">
        <v>569</v>
      </c>
      <c r="C6" s="618" t="s">
        <v>570</v>
      </c>
      <c r="D6" s="618" t="s">
        <v>571</v>
      </c>
      <c r="E6" s="618" t="s">
        <v>572</v>
      </c>
      <c r="F6" s="618" t="s">
        <v>573</v>
      </c>
      <c r="G6" s="618" t="s">
        <v>568</v>
      </c>
    </row>
    <row r="7" spans="1:7" ht="102">
      <c r="A7" s="618" t="s">
        <v>362</v>
      </c>
      <c r="B7" s="618" t="s">
        <v>574</v>
      </c>
      <c r="C7" s="618" t="s">
        <v>575</v>
      </c>
      <c r="D7" s="618" t="s">
        <v>576</v>
      </c>
      <c r="E7" s="618" t="s">
        <v>577</v>
      </c>
      <c r="F7" s="618" t="s">
        <v>578</v>
      </c>
      <c r="G7" s="618" t="s">
        <v>579</v>
      </c>
    </row>
    <row r="8" spans="1:7" ht="191.25">
      <c r="A8" s="618" t="s">
        <v>361</v>
      </c>
      <c r="B8" s="618" t="s">
        <v>580</v>
      </c>
      <c r="C8" s="618" t="s">
        <v>582</v>
      </c>
      <c r="D8" s="618" t="s">
        <v>583</v>
      </c>
      <c r="E8" s="618" t="s">
        <v>584</v>
      </c>
      <c r="F8" s="618" t="s">
        <v>585</v>
      </c>
      <c r="G8" s="618" t="s">
        <v>581</v>
      </c>
    </row>
    <row r="9" spans="1:7" ht="242.25">
      <c r="A9" s="618" t="s">
        <v>360</v>
      </c>
      <c r="B9" s="618" t="s">
        <v>586</v>
      </c>
      <c r="C9" s="618" t="s">
        <v>587</v>
      </c>
      <c r="D9" s="618" t="s">
        <v>588</v>
      </c>
      <c r="E9" s="618" t="s">
        <v>589</v>
      </c>
      <c r="F9" s="618" t="s">
        <v>591</v>
      </c>
      <c r="G9" s="618" t="s">
        <v>590</v>
      </c>
    </row>
    <row r="10" spans="1:7" ht="395.25">
      <c r="A10" s="618" t="s">
        <v>359</v>
      </c>
      <c r="B10" s="618" t="s">
        <v>562</v>
      </c>
      <c r="C10" s="618" t="s">
        <v>592</v>
      </c>
      <c r="D10" s="618" t="s">
        <v>593</v>
      </c>
      <c r="E10" s="618" t="s">
        <v>594</v>
      </c>
      <c r="F10" s="618" t="s">
        <v>595</v>
      </c>
      <c r="G10" s="618" t="s">
        <v>596</v>
      </c>
    </row>
    <row r="11" spans="1:7" ht="76.5">
      <c r="A11" s="618" t="s">
        <v>358</v>
      </c>
      <c r="B11" s="618" t="s">
        <v>597</v>
      </c>
      <c r="C11" s="618" t="s">
        <v>598</v>
      </c>
      <c r="D11" s="618" t="s">
        <v>599</v>
      </c>
      <c r="E11" s="618" t="s">
        <v>600</v>
      </c>
      <c r="F11" s="618" t="s">
        <v>601</v>
      </c>
      <c r="G11" s="618" t="s">
        <v>602</v>
      </c>
    </row>
    <row r="12" spans="1:7" ht="153">
      <c r="A12" s="618" t="s">
        <v>357</v>
      </c>
      <c r="B12" s="618" t="s">
        <v>603</v>
      </c>
      <c r="C12" s="618" t="s">
        <v>604</v>
      </c>
      <c r="D12" s="618" t="s">
        <v>605</v>
      </c>
      <c r="E12" s="618" t="s">
        <v>606</v>
      </c>
      <c r="F12" s="618" t="s">
        <v>607</v>
      </c>
      <c r="G12" s="618" t="s">
        <v>608</v>
      </c>
    </row>
    <row r="13" spans="1:7" ht="38.25">
      <c r="A13" s="618" t="s">
        <v>356</v>
      </c>
      <c r="B13" s="618" t="s">
        <v>609</v>
      </c>
      <c r="C13" s="618" t="s">
        <v>610</v>
      </c>
      <c r="D13" s="618" t="s">
        <v>611</v>
      </c>
      <c r="E13" s="618" t="s">
        <v>612</v>
      </c>
      <c r="F13" s="618" t="s">
        <v>613</v>
      </c>
      <c r="G13" s="618" t="s">
        <v>614</v>
      </c>
    </row>
    <row r="14" spans="1:7" ht="51">
      <c r="A14" s="618" t="s">
        <v>355</v>
      </c>
      <c r="B14" s="618" t="s">
        <v>615</v>
      </c>
      <c r="C14" s="618" t="s">
        <v>616</v>
      </c>
      <c r="D14" s="618" t="s">
        <v>617</v>
      </c>
      <c r="E14" s="618" t="s">
        <v>618</v>
      </c>
      <c r="F14" s="618" t="s">
        <v>619</v>
      </c>
      <c r="G14" s="618" t="s">
        <v>620</v>
      </c>
    </row>
    <row r="15" spans="1:7" ht="25.5">
      <c r="A15" s="618" t="s">
        <v>507</v>
      </c>
      <c r="B15" s="618" t="s">
        <v>621</v>
      </c>
      <c r="C15" s="618" t="s">
        <v>622</v>
      </c>
      <c r="D15" s="618" t="s">
        <v>623</v>
      </c>
      <c r="E15" s="618" t="s">
        <v>624</v>
      </c>
      <c r="F15" s="618" t="s">
        <v>625</v>
      </c>
      <c r="G15" s="618" t="s">
        <v>626</v>
      </c>
    </row>
    <row r="16" spans="1:7" ht="38.25">
      <c r="A16" s="618" t="s">
        <v>508</v>
      </c>
      <c r="B16" s="618" t="s">
        <v>627</v>
      </c>
      <c r="C16" s="618" t="s">
        <v>628</v>
      </c>
      <c r="D16" s="618" t="s">
        <v>629</v>
      </c>
      <c r="E16" s="618" t="s">
        <v>630</v>
      </c>
      <c r="F16" s="618" t="s">
        <v>631</v>
      </c>
      <c r="G16" s="618" t="s">
        <v>632</v>
      </c>
    </row>
    <row r="17" spans="1:7" ht="51">
      <c r="A17" s="618" t="s">
        <v>509</v>
      </c>
      <c r="B17" s="618" t="s">
        <v>633</v>
      </c>
      <c r="C17" s="618" t="s">
        <v>634</v>
      </c>
      <c r="D17" s="618" t="s">
        <v>635</v>
      </c>
      <c r="E17" s="618" t="s">
        <v>636</v>
      </c>
      <c r="F17" s="618" t="s">
        <v>637</v>
      </c>
      <c r="G17" s="618" t="s">
        <v>638</v>
      </c>
    </row>
    <row r="18" spans="1:7" ht="38.25">
      <c r="A18" s="618" t="s">
        <v>510</v>
      </c>
      <c r="B18" s="618" t="s">
        <v>639</v>
      </c>
      <c r="C18" s="618" t="s">
        <v>640</v>
      </c>
      <c r="D18" s="618" t="s">
        <v>641</v>
      </c>
      <c r="E18" s="618" t="s">
        <v>642</v>
      </c>
      <c r="F18" s="618" t="s">
        <v>643</v>
      </c>
      <c r="G18" s="618" t="s">
        <v>644</v>
      </c>
    </row>
    <row r="19" spans="1:7" ht="51">
      <c r="A19" s="618" t="s">
        <v>511</v>
      </c>
      <c r="B19" s="618" t="s">
        <v>645</v>
      </c>
      <c r="C19" s="618" t="s">
        <v>646</v>
      </c>
      <c r="D19" s="618" t="s">
        <v>647</v>
      </c>
      <c r="E19" s="618" t="s">
        <v>648</v>
      </c>
      <c r="F19" s="618" t="s">
        <v>649</v>
      </c>
      <c r="G19" s="618" t="s">
        <v>650</v>
      </c>
    </row>
    <row r="20" spans="1:7" ht="63.75">
      <c r="A20" s="618" t="s">
        <v>512</v>
      </c>
      <c r="B20" s="618" t="s">
        <v>651</v>
      </c>
      <c r="C20" s="618" t="s">
        <v>652</v>
      </c>
      <c r="D20" s="618" t="s">
        <v>653</v>
      </c>
      <c r="E20" s="618" t="s">
        <v>654</v>
      </c>
      <c r="F20" s="618" t="s">
        <v>655</v>
      </c>
      <c r="G20" s="618" t="s">
        <v>656</v>
      </c>
    </row>
    <row r="21" spans="1:7" ht="25.5">
      <c r="A21" s="618" t="s">
        <v>513</v>
      </c>
      <c r="B21" s="618" t="s">
        <v>657</v>
      </c>
      <c r="C21" s="618" t="s">
        <v>658</v>
      </c>
      <c r="D21" s="618" t="s">
        <v>659</v>
      </c>
      <c r="E21" s="618" t="s">
        <v>660</v>
      </c>
      <c r="F21" s="618" t="s">
        <v>661</v>
      </c>
      <c r="G21" s="618" t="s">
        <v>662</v>
      </c>
    </row>
    <row r="22" spans="1:7" ht="25.5">
      <c r="A22" s="618" t="s">
        <v>514</v>
      </c>
      <c r="B22" s="618" t="s">
        <v>663</v>
      </c>
      <c r="C22" s="618" t="s">
        <v>664</v>
      </c>
      <c r="D22" s="618" t="s">
        <v>665</v>
      </c>
      <c r="E22" s="618" t="s">
        <v>666</v>
      </c>
      <c r="F22" s="618" t="s">
        <v>667</v>
      </c>
      <c r="G22" s="618" t="s">
        <v>668</v>
      </c>
    </row>
  </sheetData>
  <phoneticPr fontId="58" type="noConversion"/>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árok25">
    <tabColor rgb="FFFFC000"/>
  </sheetPr>
  <dimension ref="A1:H21"/>
  <sheetViews>
    <sheetView zoomScale="110" zoomScaleNormal="110" workbookViewId="0">
      <selection activeCell="D2" sqref="D2"/>
    </sheetView>
  </sheetViews>
  <sheetFormatPr defaultColWidth="8.7109375" defaultRowHeight="12.75"/>
  <cols>
    <col min="1" max="1" width="18.7109375" style="410" customWidth="1"/>
    <col min="2" max="2" width="12" style="410" customWidth="1"/>
    <col min="3" max="3" width="6.140625" style="410" customWidth="1"/>
    <col min="4" max="5" width="12" style="410" customWidth="1"/>
    <col min="6" max="7" width="11.28515625" style="410" customWidth="1"/>
    <col min="8" max="16384" width="8.7109375" style="410"/>
  </cols>
  <sheetData>
    <row r="1" spans="1:8" s="411" customFormat="1" ht="25.5">
      <c r="A1" s="431" t="s">
        <v>398</v>
      </c>
      <c r="B1" s="431" t="s">
        <v>301</v>
      </c>
      <c r="C1" s="431" t="s">
        <v>98</v>
      </c>
      <c r="D1" s="431" t="s">
        <v>269</v>
      </c>
      <c r="E1" s="431" t="s">
        <v>397</v>
      </c>
      <c r="F1" s="431" t="s">
        <v>293</v>
      </c>
      <c r="G1" s="431" t="s">
        <v>761</v>
      </c>
    </row>
    <row r="2" spans="1:8">
      <c r="A2" s="428" t="s">
        <v>296</v>
      </c>
      <c r="B2" s="429">
        <v>45778</v>
      </c>
      <c r="C2" s="426">
        <f t="shared" ref="C2:C21" si="0">IF(ISBLANK(B2),"",YEAR(B2))</f>
        <v>2025</v>
      </c>
      <c r="D2" s="429">
        <v>46871</v>
      </c>
      <c r="E2" s="419">
        <f>IF(ISBLANK(B2),"",ROUND((D2-B2+1)/30,0))</f>
        <v>36</v>
      </c>
      <c r="F2" s="426">
        <f>IF(ISBLANK(B2),"",ROUNDUP(((D2+1)-MIN($B$2:$B$21))/365,))</f>
        <v>3</v>
      </c>
      <c r="G2" s="426">
        <f>IF(ISBLANK(B2),"",ROUND((D2-$B$2+1)/30,0))</f>
        <v>36</v>
      </c>
      <c r="H2" s="430"/>
    </row>
    <row r="3" spans="1:8">
      <c r="A3" s="428" t="s">
        <v>297</v>
      </c>
      <c r="B3" s="429"/>
      <c r="C3" s="426" t="str">
        <f t="shared" si="0"/>
        <v/>
      </c>
      <c r="D3" s="429"/>
      <c r="E3" s="419" t="str">
        <f t="shared" ref="E3:E21" si="1">IF(ISBLANK(B3),"",ROUND((D3-B3+1)/30,0))</f>
        <v/>
      </c>
      <c r="F3" s="426" t="str">
        <f t="shared" ref="F3:F21" si="2">IF(ISBLANK(B3),"",ROUNDUP(((D3+1)-MIN($B$2:$B$21))/365,))</f>
        <v/>
      </c>
      <c r="G3" s="426" t="str">
        <f>IF(ISBLANK(B3),"",ROUND((D3-$B$2+1)/30,0))</f>
        <v/>
      </c>
    </row>
    <row r="4" spans="1:8">
      <c r="A4" s="428" t="s">
        <v>298</v>
      </c>
      <c r="B4" s="429"/>
      <c r="C4" s="426" t="str">
        <f t="shared" si="0"/>
        <v/>
      </c>
      <c r="D4" s="429"/>
      <c r="E4" s="419" t="str">
        <f t="shared" si="1"/>
        <v/>
      </c>
      <c r="F4" s="426" t="str">
        <f t="shared" si="2"/>
        <v/>
      </c>
      <c r="G4" s="426" t="str">
        <f>IF(ISBLANK(B4),"",ROUND((D4-$B$2+1)/30,0))</f>
        <v/>
      </c>
    </row>
    <row r="5" spans="1:8">
      <c r="A5" s="428" t="s">
        <v>396</v>
      </c>
      <c r="B5" s="427"/>
      <c r="C5" s="426" t="str">
        <f t="shared" si="0"/>
        <v/>
      </c>
      <c r="D5" s="427"/>
      <c r="E5" s="419" t="str">
        <f t="shared" si="1"/>
        <v/>
      </c>
      <c r="F5" s="426" t="str">
        <f t="shared" si="2"/>
        <v/>
      </c>
      <c r="G5" s="426"/>
    </row>
    <row r="6" spans="1:8">
      <c r="A6" s="428" t="s">
        <v>395</v>
      </c>
      <c r="B6" s="427"/>
      <c r="C6" s="426" t="str">
        <f t="shared" si="0"/>
        <v/>
      </c>
      <c r="D6" s="427"/>
      <c r="E6" s="419" t="str">
        <f t="shared" si="1"/>
        <v/>
      </c>
      <c r="F6" s="426" t="str">
        <f t="shared" si="2"/>
        <v/>
      </c>
      <c r="G6" s="426"/>
    </row>
    <row r="7" spans="1:8">
      <c r="A7" s="428" t="s">
        <v>394</v>
      </c>
      <c r="B7" s="427"/>
      <c r="C7" s="426" t="str">
        <f t="shared" si="0"/>
        <v/>
      </c>
      <c r="D7" s="427"/>
      <c r="E7" s="419" t="str">
        <f t="shared" si="1"/>
        <v/>
      </c>
      <c r="F7" s="426" t="str">
        <f t="shared" si="2"/>
        <v/>
      </c>
      <c r="G7" s="426"/>
    </row>
    <row r="8" spans="1:8">
      <c r="A8" s="428" t="s">
        <v>393</v>
      </c>
      <c r="B8" s="427"/>
      <c r="C8" s="426" t="str">
        <f t="shared" si="0"/>
        <v/>
      </c>
      <c r="D8" s="427"/>
      <c r="E8" s="419" t="str">
        <f t="shared" si="1"/>
        <v/>
      </c>
      <c r="F8" s="426" t="str">
        <f t="shared" si="2"/>
        <v/>
      </c>
      <c r="G8" s="426"/>
    </row>
    <row r="9" spans="1:8">
      <c r="A9" s="428" t="s">
        <v>392</v>
      </c>
      <c r="B9" s="427"/>
      <c r="C9" s="426" t="str">
        <f t="shared" si="0"/>
        <v/>
      </c>
      <c r="D9" s="427"/>
      <c r="E9" s="419" t="str">
        <f t="shared" si="1"/>
        <v/>
      </c>
      <c r="F9" s="426" t="str">
        <f t="shared" si="2"/>
        <v/>
      </c>
      <c r="G9" s="426"/>
    </row>
    <row r="10" spans="1:8">
      <c r="A10" s="428" t="s">
        <v>391</v>
      </c>
      <c r="B10" s="427"/>
      <c r="C10" s="426" t="str">
        <f t="shared" si="0"/>
        <v/>
      </c>
      <c r="D10" s="427"/>
      <c r="E10" s="419" t="str">
        <f t="shared" si="1"/>
        <v/>
      </c>
      <c r="F10" s="426" t="str">
        <f t="shared" si="2"/>
        <v/>
      </c>
      <c r="G10" s="426"/>
    </row>
    <row r="11" spans="1:8">
      <c r="A11" s="428" t="s">
        <v>390</v>
      </c>
      <c r="B11" s="427"/>
      <c r="C11" s="426" t="str">
        <f t="shared" si="0"/>
        <v/>
      </c>
      <c r="D11" s="427"/>
      <c r="E11" s="419" t="str">
        <f t="shared" si="1"/>
        <v/>
      </c>
      <c r="F11" s="426" t="str">
        <f t="shared" si="2"/>
        <v/>
      </c>
      <c r="G11" s="426"/>
    </row>
    <row r="12" spans="1:8">
      <c r="A12" s="428" t="s">
        <v>389</v>
      </c>
      <c r="B12" s="427"/>
      <c r="C12" s="426" t="str">
        <f t="shared" si="0"/>
        <v/>
      </c>
      <c r="D12" s="427"/>
      <c r="E12" s="419" t="str">
        <f t="shared" si="1"/>
        <v/>
      </c>
      <c r="F12" s="426" t="str">
        <f t="shared" si="2"/>
        <v/>
      </c>
      <c r="G12" s="426"/>
    </row>
    <row r="13" spans="1:8">
      <c r="A13" s="428" t="s">
        <v>388</v>
      </c>
      <c r="B13" s="427"/>
      <c r="C13" s="426" t="str">
        <f t="shared" si="0"/>
        <v/>
      </c>
      <c r="D13" s="427"/>
      <c r="E13" s="419" t="str">
        <f t="shared" si="1"/>
        <v/>
      </c>
      <c r="F13" s="426" t="str">
        <f t="shared" si="2"/>
        <v/>
      </c>
      <c r="G13" s="426"/>
    </row>
    <row r="14" spans="1:8">
      <c r="A14" s="428" t="s">
        <v>387</v>
      </c>
      <c r="B14" s="427"/>
      <c r="C14" s="426" t="str">
        <f t="shared" si="0"/>
        <v/>
      </c>
      <c r="D14" s="427"/>
      <c r="E14" s="419" t="str">
        <f t="shared" si="1"/>
        <v/>
      </c>
      <c r="F14" s="426" t="str">
        <f t="shared" si="2"/>
        <v/>
      </c>
      <c r="G14" s="426"/>
    </row>
    <row r="15" spans="1:8">
      <c r="A15" s="428" t="s">
        <v>386</v>
      </c>
      <c r="B15" s="427"/>
      <c r="C15" s="426" t="str">
        <f t="shared" si="0"/>
        <v/>
      </c>
      <c r="D15" s="427"/>
      <c r="E15" s="419" t="str">
        <f t="shared" si="1"/>
        <v/>
      </c>
      <c r="F15" s="426" t="str">
        <f t="shared" si="2"/>
        <v/>
      </c>
      <c r="G15" s="426"/>
    </row>
    <row r="16" spans="1:8">
      <c r="A16" s="428" t="s">
        <v>385</v>
      </c>
      <c r="B16" s="427"/>
      <c r="C16" s="426" t="str">
        <f t="shared" si="0"/>
        <v/>
      </c>
      <c r="D16" s="427"/>
      <c r="E16" s="419" t="str">
        <f t="shared" si="1"/>
        <v/>
      </c>
      <c r="F16" s="426" t="str">
        <f t="shared" si="2"/>
        <v/>
      </c>
      <c r="G16" s="426"/>
    </row>
    <row r="17" spans="1:7">
      <c r="A17" s="428" t="s">
        <v>384</v>
      </c>
      <c r="B17" s="427"/>
      <c r="C17" s="426" t="str">
        <f t="shared" si="0"/>
        <v/>
      </c>
      <c r="D17" s="427"/>
      <c r="E17" s="419" t="str">
        <f t="shared" si="1"/>
        <v/>
      </c>
      <c r="F17" s="426" t="str">
        <f t="shared" si="2"/>
        <v/>
      </c>
      <c r="G17" s="426"/>
    </row>
    <row r="18" spans="1:7">
      <c r="A18" s="428" t="s">
        <v>383</v>
      </c>
      <c r="B18" s="427"/>
      <c r="C18" s="426" t="str">
        <f t="shared" si="0"/>
        <v/>
      </c>
      <c r="D18" s="427"/>
      <c r="E18" s="419" t="str">
        <f t="shared" si="1"/>
        <v/>
      </c>
      <c r="F18" s="426" t="str">
        <f t="shared" si="2"/>
        <v/>
      </c>
      <c r="G18" s="426"/>
    </row>
    <row r="19" spans="1:7">
      <c r="A19" s="428" t="s">
        <v>382</v>
      </c>
      <c r="B19" s="427"/>
      <c r="C19" s="426" t="str">
        <f t="shared" si="0"/>
        <v/>
      </c>
      <c r="D19" s="427"/>
      <c r="E19" s="419" t="str">
        <f t="shared" si="1"/>
        <v/>
      </c>
      <c r="F19" s="426" t="str">
        <f t="shared" si="2"/>
        <v/>
      </c>
      <c r="G19" s="426"/>
    </row>
    <row r="20" spans="1:7">
      <c r="A20" s="428" t="s">
        <v>381</v>
      </c>
      <c r="B20" s="427"/>
      <c r="C20" s="426" t="str">
        <f t="shared" si="0"/>
        <v/>
      </c>
      <c r="D20" s="427"/>
      <c r="E20" s="419" t="str">
        <f t="shared" si="1"/>
        <v/>
      </c>
      <c r="F20" s="426" t="str">
        <f t="shared" si="2"/>
        <v/>
      </c>
      <c r="G20" s="426"/>
    </row>
    <row r="21" spans="1:7">
      <c r="A21" s="428" t="s">
        <v>380</v>
      </c>
      <c r="B21" s="427"/>
      <c r="C21" s="426" t="str">
        <f t="shared" si="0"/>
        <v/>
      </c>
      <c r="D21" s="427"/>
      <c r="E21" s="419" t="str">
        <f t="shared" si="1"/>
        <v/>
      </c>
      <c r="F21" s="426" t="str">
        <f t="shared" si="2"/>
        <v/>
      </c>
      <c r="G21" s="426"/>
    </row>
  </sheetData>
  <dataValidations count="1">
    <dataValidation type="date" allowBlank="1" showInputMessage="1" showErrorMessage="1" sqref="B2:B21 D2:D21" xr:uid="{00000000-0002-0000-0A00-000000000000}">
      <formula1>36526</formula1>
      <formula2>55153</formula2>
    </dataValidation>
  </dataValidations>
  <pageMargins left="0.7" right="0.7" top="0.75" bottom="0.75" header="0.3" footer="0.3"/>
  <pageSetup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árok26">
    <tabColor rgb="FFFFC000"/>
  </sheetPr>
  <dimension ref="A1:AG300"/>
  <sheetViews>
    <sheetView topLeftCell="D1" zoomScale="90" zoomScaleNormal="90" workbookViewId="0">
      <pane ySplit="2" topLeftCell="A3" activePane="bottomLeft" state="frozen"/>
      <selection activeCell="I3" sqref="I3"/>
      <selection pane="bottomLeft" activeCell="E8" sqref="E8"/>
    </sheetView>
  </sheetViews>
  <sheetFormatPr defaultColWidth="10.42578125" defaultRowHeight="12.75"/>
  <cols>
    <col min="1" max="1" width="18.140625" style="376" customWidth="1"/>
    <col min="2" max="2" width="28.42578125" style="376" bestFit="1" customWidth="1"/>
    <col min="3" max="3" width="24.85546875" style="373" bestFit="1" customWidth="1"/>
    <col min="4" max="4" width="47.28515625" style="373" bestFit="1" customWidth="1"/>
    <col min="5" max="5" width="57.7109375" style="373" customWidth="1"/>
    <col min="6" max="6" width="27.42578125" style="373" customWidth="1"/>
    <col min="7" max="7" width="19.28515625" style="373" customWidth="1"/>
    <col min="8" max="9" width="17" style="373" customWidth="1"/>
    <col min="10" max="10" width="17" style="376" hidden="1" customWidth="1"/>
    <col min="11" max="11" width="17" style="376" customWidth="1"/>
    <col min="12" max="12" width="13.7109375" style="375" customWidth="1"/>
    <col min="13" max="14" width="13.7109375" style="376" customWidth="1"/>
    <col min="15" max="15" width="13.7109375" style="375" customWidth="1"/>
    <col min="16" max="16" width="14.28515625" style="374" customWidth="1"/>
    <col min="17" max="17" width="27.42578125" style="373" customWidth="1"/>
    <col min="18" max="18" width="34.28515625" style="373" customWidth="1"/>
    <col min="19" max="19" width="64.42578125" style="373" customWidth="1"/>
    <col min="20" max="20" width="34.42578125" style="373" customWidth="1"/>
    <col min="21" max="21" width="30.42578125" style="373" customWidth="1"/>
    <col min="22" max="22" width="26.28515625" style="373" customWidth="1"/>
    <col min="23" max="24" width="44.42578125" style="373" customWidth="1"/>
    <col min="25" max="26" width="36.28515625" style="373" customWidth="1"/>
    <col min="27" max="28" width="38" style="373" customWidth="1"/>
    <col min="29" max="29" width="52.7109375" style="373" customWidth="1"/>
    <col min="30" max="30" width="35.42578125" style="373" customWidth="1"/>
    <col min="31" max="31" width="30.28515625" style="373" customWidth="1"/>
    <col min="32" max="16384" width="10.42578125" style="373"/>
  </cols>
  <sheetData>
    <row r="1" spans="1:33" ht="45.4" customHeight="1">
      <c r="A1" s="802" t="s">
        <v>338</v>
      </c>
      <c r="B1" s="803"/>
      <c r="C1" s="803"/>
      <c r="D1" s="803"/>
      <c r="E1" s="803"/>
      <c r="F1" s="803"/>
      <c r="G1" s="803"/>
      <c r="H1" s="803"/>
      <c r="I1" s="803"/>
      <c r="J1" s="803"/>
      <c r="K1" s="803"/>
      <c r="L1" s="803"/>
      <c r="M1" s="803"/>
      <c r="N1" s="803"/>
      <c r="O1" s="803"/>
      <c r="P1" s="803"/>
      <c r="Q1" s="803"/>
      <c r="R1" s="803"/>
      <c r="S1" s="804"/>
      <c r="T1" s="794" t="s">
        <v>337</v>
      </c>
      <c r="U1" s="795"/>
      <c r="V1" s="796"/>
      <c r="W1" s="797" t="s">
        <v>336</v>
      </c>
      <c r="X1" s="798"/>
      <c r="Y1" s="798"/>
      <c r="Z1" s="798"/>
      <c r="AA1" s="798"/>
      <c r="AB1" s="798"/>
      <c r="AC1" s="799"/>
      <c r="AD1" s="800" t="s">
        <v>335</v>
      </c>
      <c r="AE1" s="801"/>
      <c r="AF1" s="409"/>
    </row>
    <row r="2" spans="1:33" s="402" customFormat="1" ht="51">
      <c r="A2" s="384" t="s">
        <v>334</v>
      </c>
      <c r="B2" s="384" t="s">
        <v>333</v>
      </c>
      <c r="C2" s="384" t="s">
        <v>332</v>
      </c>
      <c r="D2" s="384" t="s">
        <v>331</v>
      </c>
      <c r="E2" s="384" t="s">
        <v>330</v>
      </c>
      <c r="F2" s="384" t="s">
        <v>329</v>
      </c>
      <c r="G2" s="384" t="s">
        <v>444</v>
      </c>
      <c r="H2" s="408" t="s">
        <v>762</v>
      </c>
      <c r="I2" s="408" t="s">
        <v>763</v>
      </c>
      <c r="J2" s="408" t="s">
        <v>328</v>
      </c>
      <c r="K2" s="408" t="s">
        <v>764</v>
      </c>
      <c r="L2" s="408" t="s">
        <v>327</v>
      </c>
      <c r="M2" s="408" t="s">
        <v>326</v>
      </c>
      <c r="N2" s="408" t="s">
        <v>325</v>
      </c>
      <c r="O2" s="408" t="s">
        <v>324</v>
      </c>
      <c r="P2" s="408" t="s">
        <v>765</v>
      </c>
      <c r="Q2" s="384" t="s">
        <v>766</v>
      </c>
      <c r="R2" s="384" t="s">
        <v>323</v>
      </c>
      <c r="S2" s="384" t="s">
        <v>322</v>
      </c>
      <c r="T2" s="407" t="s">
        <v>321</v>
      </c>
      <c r="U2" s="407" t="s">
        <v>320</v>
      </c>
      <c r="V2" s="406" t="s">
        <v>319</v>
      </c>
      <c r="W2" s="405" t="s">
        <v>318</v>
      </c>
      <c r="X2" s="405" t="s">
        <v>317</v>
      </c>
      <c r="Y2" s="405" t="s">
        <v>316</v>
      </c>
      <c r="Z2" s="405" t="s">
        <v>315</v>
      </c>
      <c r="AA2" s="405" t="s">
        <v>314</v>
      </c>
      <c r="AB2" s="405" t="s">
        <v>313</v>
      </c>
      <c r="AC2" s="405" t="s">
        <v>767</v>
      </c>
      <c r="AD2" s="404" t="s">
        <v>312</v>
      </c>
      <c r="AE2" s="403" t="s">
        <v>311</v>
      </c>
    </row>
    <row r="3" spans="1:33" s="396" customFormat="1">
      <c r="A3" s="404" t="s">
        <v>811</v>
      </c>
      <c r="B3" s="404" t="s">
        <v>747</v>
      </c>
      <c r="C3" s="535" t="s">
        <v>812</v>
      </c>
      <c r="D3" s="392" t="s">
        <v>813</v>
      </c>
      <c r="E3" s="535" t="s">
        <v>814</v>
      </c>
      <c r="F3" s="392" t="s">
        <v>815</v>
      </c>
      <c r="G3" s="392" t="s">
        <v>797</v>
      </c>
      <c r="H3" s="382">
        <v>1</v>
      </c>
      <c r="I3" s="382">
        <v>5</v>
      </c>
      <c r="J3" s="382">
        <f t="shared" ref="J3:J34" si="0">IF(ISNUMBER(H3),H3,)</f>
        <v>1</v>
      </c>
      <c r="K3" s="645">
        <f>H3*I3</f>
        <v>5</v>
      </c>
      <c r="L3" s="646">
        <f>IFERROR(IF(B3="funkcna poziadavka",VLOOKUP(G3,MODULY_CBA!$B$3:$E$23,4,0)*H3/SUMIFS($H$3:$H$199,$G$3:$G$199,G3,$B$3:$B$199,B3),),)</f>
        <v>9.45945945945946E-2</v>
      </c>
      <c r="M3" s="645">
        <f>IFERROR(IF(B3="Funkcna poziadavka",VLOOKUP(G3,MODULY_CBA!$B$3:$E$23,3,0),),)</f>
        <v>1.4</v>
      </c>
      <c r="N3" s="645">
        <f>IFERROR(IF(B3="funkcna poziadavka",VLOOKUP(G3,MODULY_CBA!$B$3:$E$23,2,0),),)</f>
        <v>0.6</v>
      </c>
      <c r="O3" s="646">
        <f>(I3+L3)*M3*N3*H3</f>
        <v>4.279459459459459</v>
      </c>
      <c r="P3" s="647">
        <f>IFERROR(O3*VLOOKUP(G3,MODULY_CBA!$B$3:$F$23,5,0),)</f>
        <v>85.589189189189185</v>
      </c>
      <c r="Q3" s="482" t="str">
        <f>IFERROR(VLOOKUP(G3,MODULY_CBA!$B$3:$I$23,6,0),"")</f>
        <v>Inkrement 1</v>
      </c>
      <c r="R3" s="387" t="s">
        <v>166</v>
      </c>
      <c r="S3" s="387" t="s">
        <v>1095</v>
      </c>
      <c r="T3" s="387"/>
      <c r="U3" s="387"/>
      <c r="V3" s="399"/>
      <c r="W3" s="379"/>
      <c r="X3" s="379"/>
      <c r="Y3" s="387"/>
      <c r="Z3" s="387"/>
      <c r="AA3" s="387"/>
      <c r="AB3" s="387"/>
      <c r="AC3" s="387"/>
      <c r="AD3" s="387"/>
      <c r="AE3" s="387"/>
      <c r="AF3" s="401"/>
      <c r="AG3" s="400"/>
    </row>
    <row r="4" spans="1:33" s="396" customFormat="1">
      <c r="A4" s="404" t="s">
        <v>816</v>
      </c>
      <c r="B4" s="404" t="s">
        <v>747</v>
      </c>
      <c r="C4" s="535" t="s">
        <v>812</v>
      </c>
      <c r="D4" s="392" t="s">
        <v>817</v>
      </c>
      <c r="E4" s="535" t="s">
        <v>818</v>
      </c>
      <c r="F4" s="392" t="s">
        <v>815</v>
      </c>
      <c r="G4" s="392" t="s">
        <v>797</v>
      </c>
      <c r="H4" s="382">
        <v>1</v>
      </c>
      <c r="I4" s="382">
        <v>5</v>
      </c>
      <c r="J4" s="382">
        <f t="shared" si="0"/>
        <v>1</v>
      </c>
      <c r="K4" s="645">
        <f t="shared" ref="K4:K67" si="1">H4*I4</f>
        <v>5</v>
      </c>
      <c r="L4" s="646">
        <f>IFERROR(IF(B4="funkcna poziadavka",VLOOKUP(G4,MODULY_CBA!$B$3:$E$23,4,0)*H4/SUMIFS($H$3:$H$199,$G$3:$G$199,G4,$B$3:$B$199,B4),),)</f>
        <v>9.45945945945946E-2</v>
      </c>
      <c r="M4" s="645">
        <f>IFERROR(IF(B4="Funkcna poziadavka",VLOOKUP(G4,MODULY_CBA!$B$3:$E$23,3,0),),)</f>
        <v>1.4</v>
      </c>
      <c r="N4" s="645">
        <f>IFERROR(IF(B4="funkcna poziadavka",VLOOKUP(G4,MODULY_CBA!$B$3:$E$23,2,0),),)</f>
        <v>0.6</v>
      </c>
      <c r="O4" s="646">
        <f t="shared" ref="O4:O11" si="2">(I4+L4)*M4*N4*H4</f>
        <v>4.279459459459459</v>
      </c>
      <c r="P4" s="647">
        <f>IFERROR(O4*VLOOKUP(G4,MODULY_CBA!$B$3:$F$23,5,0),)</f>
        <v>85.589189189189185</v>
      </c>
      <c r="Q4" s="482" t="str">
        <f>IFERROR(VLOOKUP(G4,MODULY_CBA!$B$3:$I$23,6,0),"")</f>
        <v>Inkrement 1</v>
      </c>
      <c r="R4" s="387" t="s">
        <v>166</v>
      </c>
      <c r="S4" s="387" t="s">
        <v>1095</v>
      </c>
      <c r="T4" s="387"/>
      <c r="U4" s="387"/>
      <c r="V4" s="399"/>
      <c r="W4" s="379"/>
      <c r="X4" s="379"/>
      <c r="Y4" s="387"/>
      <c r="Z4" s="387"/>
      <c r="AA4" s="387"/>
      <c r="AB4" s="387"/>
      <c r="AC4" s="387"/>
      <c r="AD4" s="387"/>
      <c r="AE4" s="387"/>
      <c r="AF4" s="401"/>
      <c r="AG4" s="400"/>
    </row>
    <row r="5" spans="1:33" s="396" customFormat="1">
      <c r="A5" s="404" t="s">
        <v>819</v>
      </c>
      <c r="B5" s="404" t="s">
        <v>747</v>
      </c>
      <c r="C5" s="535" t="s">
        <v>812</v>
      </c>
      <c r="D5" s="392" t="s">
        <v>820</v>
      </c>
      <c r="E5" s="535" t="s">
        <v>821</v>
      </c>
      <c r="F5" s="392" t="s">
        <v>815</v>
      </c>
      <c r="G5" s="392" t="s">
        <v>797</v>
      </c>
      <c r="H5" s="382">
        <v>1</v>
      </c>
      <c r="I5" s="382">
        <v>5</v>
      </c>
      <c r="J5" s="382">
        <f t="shared" si="0"/>
        <v>1</v>
      </c>
      <c r="K5" s="645">
        <f t="shared" si="1"/>
        <v>5</v>
      </c>
      <c r="L5" s="646">
        <f>IFERROR(IF(B5="funkcna poziadavka",VLOOKUP(G5,MODULY_CBA!$B$3:$E$23,4,0)*H5/SUMIFS($H$3:$H$199,$G$3:$G$199,G5,$B$3:$B$199,B5),),)</f>
        <v>9.45945945945946E-2</v>
      </c>
      <c r="M5" s="645">
        <f>IFERROR(IF(B5="Funkcna poziadavka",VLOOKUP(G5,MODULY_CBA!$B$3:$E$23,3,0),),)</f>
        <v>1.4</v>
      </c>
      <c r="N5" s="645">
        <f>IFERROR(IF(B5="funkcna poziadavka",VLOOKUP(G5,MODULY_CBA!$B$3:$E$23,2,0),),)</f>
        <v>0.6</v>
      </c>
      <c r="O5" s="646">
        <f t="shared" si="2"/>
        <v>4.279459459459459</v>
      </c>
      <c r="P5" s="647">
        <f>IFERROR(O5*VLOOKUP(G5,MODULY_CBA!$B$3:$F$23,5,0),)</f>
        <v>85.589189189189185</v>
      </c>
      <c r="Q5" s="482" t="str">
        <f>IFERROR(VLOOKUP(G5,MODULY_CBA!$B$3:$I$23,6,0),"")</f>
        <v>Inkrement 1</v>
      </c>
      <c r="R5" s="387" t="s">
        <v>166</v>
      </c>
      <c r="S5" s="387" t="s">
        <v>1095</v>
      </c>
      <c r="T5" s="387"/>
      <c r="U5" s="387"/>
      <c r="V5" s="399"/>
      <c r="W5" s="379"/>
      <c r="X5" s="379"/>
      <c r="Y5" s="387"/>
      <c r="Z5" s="387"/>
      <c r="AA5" s="387"/>
      <c r="AB5" s="387"/>
      <c r="AC5" s="387"/>
      <c r="AD5" s="387"/>
      <c r="AE5" s="387"/>
      <c r="AF5" s="401"/>
      <c r="AG5" s="400"/>
    </row>
    <row r="6" spans="1:33" s="396" customFormat="1" ht="25.5">
      <c r="A6" s="404" t="s">
        <v>822</v>
      </c>
      <c r="B6" s="404" t="s">
        <v>747</v>
      </c>
      <c r="C6" s="535" t="s">
        <v>812</v>
      </c>
      <c r="D6" s="392" t="s">
        <v>823</v>
      </c>
      <c r="E6" s="535" t="s">
        <v>824</v>
      </c>
      <c r="F6" s="392" t="s">
        <v>815</v>
      </c>
      <c r="G6" s="392" t="s">
        <v>797</v>
      </c>
      <c r="H6" s="382">
        <v>1</v>
      </c>
      <c r="I6" s="382">
        <v>5</v>
      </c>
      <c r="J6" s="382">
        <f t="shared" si="0"/>
        <v>1</v>
      </c>
      <c r="K6" s="645">
        <f t="shared" si="1"/>
        <v>5</v>
      </c>
      <c r="L6" s="646">
        <f>IFERROR(IF(B6="funkcna poziadavka",VLOOKUP(G6,MODULY_CBA!$B$3:$E$23,4,0)*H6/SUMIFS($H$3:$H$199,$G$3:$G$199,G6,$B$3:$B$199,B6),),)</f>
        <v>9.45945945945946E-2</v>
      </c>
      <c r="M6" s="645">
        <f>IFERROR(IF(B6="Funkcna poziadavka",VLOOKUP(G6,MODULY_CBA!$B$3:$E$23,3,0),),)</f>
        <v>1.4</v>
      </c>
      <c r="N6" s="645">
        <f>IFERROR(IF(B6="funkcna poziadavka",VLOOKUP(G6,MODULY_CBA!$B$3:$E$23,2,0),),)</f>
        <v>0.6</v>
      </c>
      <c r="O6" s="646">
        <f t="shared" si="2"/>
        <v>4.279459459459459</v>
      </c>
      <c r="P6" s="647">
        <f>IFERROR(O6*VLOOKUP(G6,MODULY_CBA!$B$3:$F$23,5,0),)</f>
        <v>85.589189189189185</v>
      </c>
      <c r="Q6" s="482" t="str">
        <f>IFERROR(VLOOKUP(G6,MODULY_CBA!$B$3:$I$23,6,0),"")</f>
        <v>Inkrement 1</v>
      </c>
      <c r="R6" s="387" t="s">
        <v>166</v>
      </c>
      <c r="S6" s="387" t="s">
        <v>1095</v>
      </c>
      <c r="T6" s="387"/>
      <c r="U6" s="387"/>
      <c r="V6" s="399"/>
      <c r="W6" s="379"/>
      <c r="X6" s="379"/>
      <c r="Y6" s="387"/>
      <c r="Z6" s="387"/>
      <c r="AA6" s="387"/>
      <c r="AB6" s="387"/>
      <c r="AC6" s="387"/>
      <c r="AD6" s="387"/>
      <c r="AE6" s="387"/>
      <c r="AF6" s="401"/>
      <c r="AG6" s="400"/>
    </row>
    <row r="7" spans="1:33" s="396" customFormat="1">
      <c r="A7" s="404" t="s">
        <v>825</v>
      </c>
      <c r="B7" s="404" t="s">
        <v>747</v>
      </c>
      <c r="C7" s="535" t="s">
        <v>812</v>
      </c>
      <c r="D7" s="392" t="s">
        <v>826</v>
      </c>
      <c r="E7" s="535" t="s">
        <v>827</v>
      </c>
      <c r="F7" s="392" t="s">
        <v>815</v>
      </c>
      <c r="G7" s="392" t="s">
        <v>797</v>
      </c>
      <c r="H7" s="382">
        <v>1</v>
      </c>
      <c r="I7" s="382">
        <v>5</v>
      </c>
      <c r="J7" s="382">
        <f t="shared" si="0"/>
        <v>1</v>
      </c>
      <c r="K7" s="645">
        <f t="shared" si="1"/>
        <v>5</v>
      </c>
      <c r="L7" s="646">
        <f>IFERROR(IF(B7="funkcna poziadavka",VLOOKUP(G7,MODULY_CBA!$B$3:$E$23,4,0)*H7/SUMIFS($H$3:$H$199,$G$3:$G$199,G7,$B$3:$B$199,B7),),)</f>
        <v>9.45945945945946E-2</v>
      </c>
      <c r="M7" s="645">
        <f>IFERROR(IF(B7="Funkcna poziadavka",VLOOKUP(G7,MODULY_CBA!$B$3:$E$23,3,0),),)</f>
        <v>1.4</v>
      </c>
      <c r="N7" s="645">
        <f>IFERROR(IF(B7="funkcna poziadavka",VLOOKUP(G7,MODULY_CBA!$B$3:$E$23,2,0),),)</f>
        <v>0.6</v>
      </c>
      <c r="O7" s="646">
        <f t="shared" si="2"/>
        <v>4.279459459459459</v>
      </c>
      <c r="P7" s="647">
        <f>IFERROR(O7*VLOOKUP(G7,MODULY_CBA!$B$3:$F$23,5,0),)</f>
        <v>85.589189189189185</v>
      </c>
      <c r="Q7" s="482" t="str">
        <f>IFERROR(VLOOKUP(G7,MODULY_CBA!$B$3:$I$23,6,0),"")</f>
        <v>Inkrement 1</v>
      </c>
      <c r="R7" s="387" t="s">
        <v>166</v>
      </c>
      <c r="S7" s="387" t="s">
        <v>1095</v>
      </c>
      <c r="T7" s="387"/>
      <c r="U7" s="387"/>
      <c r="V7" s="399"/>
      <c r="W7" s="379"/>
      <c r="X7" s="379"/>
      <c r="Y7" s="387"/>
      <c r="Z7" s="387"/>
      <c r="AA7" s="387"/>
      <c r="AB7" s="387"/>
      <c r="AC7" s="387"/>
      <c r="AD7" s="387"/>
      <c r="AE7" s="387"/>
      <c r="AF7" s="401"/>
      <c r="AG7" s="400"/>
    </row>
    <row r="8" spans="1:33" s="396" customFormat="1" ht="25.5">
      <c r="A8" s="404" t="s">
        <v>828</v>
      </c>
      <c r="B8" s="404" t="s">
        <v>747</v>
      </c>
      <c r="C8" s="535" t="s">
        <v>829</v>
      </c>
      <c r="D8" s="535" t="s">
        <v>830</v>
      </c>
      <c r="E8" s="535" t="s">
        <v>831</v>
      </c>
      <c r="F8" s="392" t="s">
        <v>815</v>
      </c>
      <c r="G8" s="392" t="s">
        <v>797</v>
      </c>
      <c r="H8" s="382">
        <v>1</v>
      </c>
      <c r="I8" s="382">
        <v>5</v>
      </c>
      <c r="J8" s="382">
        <f t="shared" si="0"/>
        <v>1</v>
      </c>
      <c r="K8" s="645">
        <f t="shared" si="1"/>
        <v>5</v>
      </c>
      <c r="L8" s="646">
        <f>IFERROR(IF(B8="funkcna poziadavka",VLOOKUP(G8,MODULY_CBA!$B$3:$E$23,4,0)*H8/SUMIFS($H$3:$H$199,$G$3:$G$199,G8,$B$3:$B$199,B8),),)</f>
        <v>9.45945945945946E-2</v>
      </c>
      <c r="M8" s="645">
        <f>IFERROR(IF(B8="Funkcna poziadavka",VLOOKUP(G8,MODULY_CBA!$B$3:$E$23,3,0),),)</f>
        <v>1.4</v>
      </c>
      <c r="N8" s="645">
        <f>IFERROR(IF(B8="funkcna poziadavka",VLOOKUP(G8,MODULY_CBA!$B$3:$E$23,2,0),),)</f>
        <v>0.6</v>
      </c>
      <c r="O8" s="646">
        <f t="shared" si="2"/>
        <v>4.279459459459459</v>
      </c>
      <c r="P8" s="647">
        <f>IFERROR(O8*VLOOKUP(G8,MODULY_CBA!$B$3:$F$23,5,0),)</f>
        <v>85.589189189189185</v>
      </c>
      <c r="Q8" s="482" t="str">
        <f>IFERROR(VLOOKUP(G8,MODULY_CBA!$B$3:$I$23,6,0),"")</f>
        <v>Inkrement 1</v>
      </c>
      <c r="R8" s="387" t="s">
        <v>166</v>
      </c>
      <c r="S8" s="387" t="s">
        <v>1095</v>
      </c>
      <c r="T8" s="387"/>
      <c r="U8" s="387"/>
      <c r="V8" s="399"/>
      <c r="W8" s="379"/>
      <c r="X8" s="379"/>
      <c r="Y8" s="387"/>
      <c r="Z8" s="387"/>
      <c r="AA8" s="387"/>
      <c r="AB8" s="387"/>
      <c r="AC8" s="387"/>
      <c r="AD8" s="387"/>
      <c r="AE8" s="387"/>
      <c r="AF8" s="401"/>
      <c r="AG8" s="400"/>
    </row>
    <row r="9" spans="1:33" s="396" customFormat="1" ht="25.5">
      <c r="A9" s="404" t="s">
        <v>832</v>
      </c>
      <c r="B9" s="404" t="s">
        <v>747</v>
      </c>
      <c r="C9" s="535" t="s">
        <v>829</v>
      </c>
      <c r="D9" s="535" t="s">
        <v>833</v>
      </c>
      <c r="E9" s="535" t="s">
        <v>834</v>
      </c>
      <c r="F9" s="392" t="s">
        <v>815</v>
      </c>
      <c r="G9" s="392" t="s">
        <v>797</v>
      </c>
      <c r="H9" s="382">
        <v>1</v>
      </c>
      <c r="I9" s="382">
        <v>5</v>
      </c>
      <c r="J9" s="382">
        <f t="shared" si="0"/>
        <v>1</v>
      </c>
      <c r="K9" s="645">
        <f t="shared" si="1"/>
        <v>5</v>
      </c>
      <c r="L9" s="646">
        <f>IFERROR(IF(B9="funkcna poziadavka",VLOOKUP(G9,MODULY_CBA!$B$3:$E$23,4,0)*H9/SUMIFS($H$3:$H$199,$G$3:$G$199,G9,$B$3:$B$199,B9),),)</f>
        <v>9.45945945945946E-2</v>
      </c>
      <c r="M9" s="645">
        <f>IFERROR(IF(B9="Funkcna poziadavka",VLOOKUP(G9,MODULY_CBA!$B$3:$E$23,3,0),),)</f>
        <v>1.4</v>
      </c>
      <c r="N9" s="645">
        <f>IFERROR(IF(B9="funkcna poziadavka",VLOOKUP(G9,MODULY_CBA!$B$3:$E$23,2,0),),)</f>
        <v>0.6</v>
      </c>
      <c r="O9" s="646">
        <f t="shared" si="2"/>
        <v>4.279459459459459</v>
      </c>
      <c r="P9" s="647">
        <f>IFERROR(O9*VLOOKUP(G9,MODULY_CBA!$B$3:$F$23,5,0),)</f>
        <v>85.589189189189185</v>
      </c>
      <c r="Q9" s="482" t="str">
        <f>IFERROR(VLOOKUP(G9,MODULY_CBA!$B$3:$I$23,6,0),"")</f>
        <v>Inkrement 1</v>
      </c>
      <c r="R9" s="387" t="s">
        <v>166</v>
      </c>
      <c r="S9" s="387" t="s">
        <v>1095</v>
      </c>
      <c r="T9" s="387"/>
      <c r="U9" s="387"/>
      <c r="V9" s="399"/>
      <c r="W9" s="379"/>
      <c r="X9" s="379"/>
      <c r="Y9" s="387"/>
      <c r="Z9" s="387"/>
      <c r="AA9" s="387"/>
      <c r="AB9" s="387"/>
      <c r="AC9" s="387"/>
      <c r="AD9" s="387"/>
      <c r="AE9" s="387"/>
      <c r="AF9" s="401"/>
      <c r="AG9" s="400"/>
    </row>
    <row r="10" spans="1:33" s="396" customFormat="1" ht="25.5">
      <c r="A10" s="404" t="s">
        <v>835</v>
      </c>
      <c r="B10" s="404" t="s">
        <v>747</v>
      </c>
      <c r="C10" s="535" t="s">
        <v>829</v>
      </c>
      <c r="D10" s="535" t="s">
        <v>836</v>
      </c>
      <c r="E10" s="535" t="s">
        <v>837</v>
      </c>
      <c r="F10" s="392" t="s">
        <v>815</v>
      </c>
      <c r="G10" s="392" t="s">
        <v>797</v>
      </c>
      <c r="H10" s="382">
        <v>1</v>
      </c>
      <c r="I10" s="382">
        <v>5</v>
      </c>
      <c r="J10" s="382">
        <f t="shared" si="0"/>
        <v>1</v>
      </c>
      <c r="K10" s="645">
        <f t="shared" si="1"/>
        <v>5</v>
      </c>
      <c r="L10" s="646">
        <f>IFERROR(IF(B10="funkcna poziadavka",VLOOKUP(G10,MODULY_CBA!$B$3:$E$23,4,0)*H10/SUMIFS($H$3:$H$199,$G$3:$G$199,G10,$B$3:$B$199,B10),),)</f>
        <v>9.45945945945946E-2</v>
      </c>
      <c r="M10" s="645">
        <f>IFERROR(IF(B10="Funkcna poziadavka",VLOOKUP(G10,MODULY_CBA!$B$3:$E$23,3,0),),)</f>
        <v>1.4</v>
      </c>
      <c r="N10" s="645">
        <f>IFERROR(IF(B10="funkcna poziadavka",VLOOKUP(G10,MODULY_CBA!$B$3:$E$23,2,0),),)</f>
        <v>0.6</v>
      </c>
      <c r="O10" s="646">
        <f t="shared" si="2"/>
        <v>4.279459459459459</v>
      </c>
      <c r="P10" s="647">
        <f>IFERROR(O10*VLOOKUP(G10,MODULY_CBA!$B$3:$F$23,5,0),)</f>
        <v>85.589189189189185</v>
      </c>
      <c r="Q10" s="482" t="str">
        <f>IFERROR(VLOOKUP(G10,MODULY_CBA!$B$3:$I$23,6,0),"")</f>
        <v>Inkrement 1</v>
      </c>
      <c r="R10" s="387" t="s">
        <v>166</v>
      </c>
      <c r="S10" s="387" t="s">
        <v>1095</v>
      </c>
      <c r="T10" s="387"/>
      <c r="U10" s="387"/>
      <c r="V10" s="399"/>
      <c r="W10" s="379"/>
      <c r="X10" s="379"/>
      <c r="Y10" s="387"/>
      <c r="Z10" s="387"/>
      <c r="AA10" s="387"/>
      <c r="AB10" s="387"/>
      <c r="AC10" s="387"/>
      <c r="AD10" s="387"/>
      <c r="AE10" s="387"/>
      <c r="AF10" s="401"/>
      <c r="AG10" s="400"/>
    </row>
    <row r="11" spans="1:33" s="396" customFormat="1" ht="25.5">
      <c r="A11" s="404" t="s">
        <v>838</v>
      </c>
      <c r="B11" s="404" t="s">
        <v>747</v>
      </c>
      <c r="C11" s="535" t="s">
        <v>829</v>
      </c>
      <c r="D11" s="535" t="s">
        <v>839</v>
      </c>
      <c r="E11" s="535" t="s">
        <v>840</v>
      </c>
      <c r="F11" s="392" t="s">
        <v>815</v>
      </c>
      <c r="G11" s="392" t="s">
        <v>797</v>
      </c>
      <c r="H11" s="382">
        <v>1</v>
      </c>
      <c r="I11" s="382">
        <v>5</v>
      </c>
      <c r="J11" s="382">
        <f t="shared" si="0"/>
        <v>1</v>
      </c>
      <c r="K11" s="645">
        <f t="shared" si="1"/>
        <v>5</v>
      </c>
      <c r="L11" s="646">
        <f>IFERROR(IF(B11="funkcna poziadavka",VLOOKUP(G11,MODULY_CBA!$B$3:$E$23,4,0)*H11/SUMIFS($H$3:$H$199,$G$3:$G$199,G11,$B$3:$B$199,B11),),)</f>
        <v>9.45945945945946E-2</v>
      </c>
      <c r="M11" s="645">
        <f>IFERROR(IF(B11="Funkcna poziadavka",VLOOKUP(G11,MODULY_CBA!$B$3:$E$23,3,0),),)</f>
        <v>1.4</v>
      </c>
      <c r="N11" s="645">
        <f>IFERROR(IF(B11="funkcna poziadavka",VLOOKUP(G11,MODULY_CBA!$B$3:$E$23,2,0),),)</f>
        <v>0.6</v>
      </c>
      <c r="O11" s="646">
        <f t="shared" si="2"/>
        <v>4.279459459459459</v>
      </c>
      <c r="P11" s="647">
        <f>IFERROR(O11*VLOOKUP(G11,MODULY_CBA!$B$3:$F$23,5,0),)</f>
        <v>85.589189189189185</v>
      </c>
      <c r="Q11" s="482" t="str">
        <f>IFERROR(VLOOKUP(G11,MODULY_CBA!$B$3:$I$23,6,0),"")</f>
        <v>Inkrement 1</v>
      </c>
      <c r="R11" s="387" t="s">
        <v>166</v>
      </c>
      <c r="S11" s="387" t="s">
        <v>1095</v>
      </c>
      <c r="T11" s="387"/>
      <c r="U11" s="387"/>
      <c r="V11" s="399"/>
      <c r="W11" s="379"/>
      <c r="X11" s="379"/>
      <c r="Y11" s="387"/>
      <c r="Z11" s="387"/>
      <c r="AA11" s="387"/>
      <c r="AB11" s="387"/>
      <c r="AC11" s="387"/>
      <c r="AD11" s="387"/>
      <c r="AE11" s="387"/>
      <c r="AF11" s="398"/>
      <c r="AG11" s="397"/>
    </row>
    <row r="12" spans="1:33" ht="25.5">
      <c r="A12" s="404" t="s">
        <v>841</v>
      </c>
      <c r="B12" s="404" t="s">
        <v>747</v>
      </c>
      <c r="C12" s="535" t="s">
        <v>829</v>
      </c>
      <c r="D12" s="535" t="s">
        <v>842</v>
      </c>
      <c r="E12" s="535" t="s">
        <v>843</v>
      </c>
      <c r="F12" s="392" t="s">
        <v>815</v>
      </c>
      <c r="G12" s="392" t="s">
        <v>797</v>
      </c>
      <c r="H12" s="382">
        <v>1</v>
      </c>
      <c r="I12" s="382">
        <v>5</v>
      </c>
      <c r="J12" s="382">
        <f t="shared" si="0"/>
        <v>1</v>
      </c>
      <c r="K12" s="382">
        <f t="shared" si="1"/>
        <v>5</v>
      </c>
      <c r="L12" s="646">
        <f>IFERROR(IF(B12="funkcna poziadavka",VLOOKUP(G12,MODULY_CBA!$B$3:$E$23,4,0)*H12/SUMIFS($H$3:$H$199,$G$3:$G$199,G12,$B$3:$B$199,B12),),)</f>
        <v>9.45945945945946E-2</v>
      </c>
      <c r="M12" s="382">
        <f>IFERROR(IF(B12="Funkcna poziadavka",VLOOKUP(G12,MODULY_CBA!$B$3:$E$23,3,0),),)</f>
        <v>1.4</v>
      </c>
      <c r="N12" s="382">
        <f>IFERROR(IF(B12="funkcna poziadavka",VLOOKUP(G12,MODULY_CBA!$B$3:$E$23,2,0),),)</f>
        <v>0.6</v>
      </c>
      <c r="O12" s="381">
        <f t="shared" ref="O12:O34" si="3">(K12+L12)*M12*N12</f>
        <v>4.279459459459459</v>
      </c>
      <c r="P12" s="380">
        <f>IFERROR(O12*VLOOKUP(G12,MODULY_CBA!$B$3:$F$23,5,0),)</f>
        <v>85.589189189189185</v>
      </c>
      <c r="Q12" s="482" t="str">
        <f>IFERROR(VLOOKUP(G12,MODULY_CBA!$B$3:$I$23,6,0),"")</f>
        <v>Inkrement 1</v>
      </c>
      <c r="R12" s="387" t="s">
        <v>166</v>
      </c>
      <c r="S12" s="387" t="s">
        <v>1095</v>
      </c>
      <c r="T12" s="388"/>
      <c r="U12" s="388"/>
      <c r="V12" s="388"/>
      <c r="W12" s="388"/>
      <c r="X12" s="388"/>
      <c r="Y12" s="388"/>
      <c r="Z12" s="388"/>
      <c r="AA12" s="388"/>
      <c r="AB12" s="388"/>
      <c r="AC12" s="388"/>
      <c r="AD12" s="388"/>
      <c r="AE12" s="388"/>
      <c r="AF12" s="394"/>
      <c r="AG12" s="388"/>
    </row>
    <row r="13" spans="1:33" ht="25.5">
      <c r="A13" s="404" t="s">
        <v>844</v>
      </c>
      <c r="B13" s="404" t="s">
        <v>747</v>
      </c>
      <c r="C13" s="535" t="s">
        <v>829</v>
      </c>
      <c r="D13" s="392" t="s">
        <v>845</v>
      </c>
      <c r="E13" s="535" t="s">
        <v>846</v>
      </c>
      <c r="F13" s="392" t="s">
        <v>815</v>
      </c>
      <c r="G13" s="392" t="s">
        <v>797</v>
      </c>
      <c r="H13" s="382">
        <v>1</v>
      </c>
      <c r="I13" s="382">
        <v>5</v>
      </c>
      <c r="J13" s="382">
        <f t="shared" si="0"/>
        <v>1</v>
      </c>
      <c r="K13" s="382">
        <f t="shared" si="1"/>
        <v>5</v>
      </c>
      <c r="L13" s="646">
        <f>IFERROR(IF(B13="funkcna poziadavka",VLOOKUP(G13,MODULY_CBA!$B$3:$E$23,4,0)*H13/SUMIFS($H$3:$H$199,$G$3:$G$199,G13,$B$3:$B$199,B13),),)</f>
        <v>9.45945945945946E-2</v>
      </c>
      <c r="M13" s="382">
        <f>IFERROR(IF(B13="Funkcna poziadavka",VLOOKUP(G13,MODULY_CBA!$B$3:$E$23,3,0),),)</f>
        <v>1.4</v>
      </c>
      <c r="N13" s="382">
        <f>IFERROR(IF(B13="funkcna poziadavka",VLOOKUP(G13,MODULY_CBA!$B$3:$E$23,2,0),),)</f>
        <v>0.6</v>
      </c>
      <c r="O13" s="381">
        <f t="shared" si="3"/>
        <v>4.279459459459459</v>
      </c>
      <c r="P13" s="380">
        <f>IFERROR(O13*VLOOKUP(G13,MODULY_CBA!$B$3:$F$23,5,0),)</f>
        <v>85.589189189189185</v>
      </c>
      <c r="Q13" s="482" t="str">
        <f>IFERROR(VLOOKUP(G13,MODULY_CBA!$B$3:$I$23,6,0),"")</f>
        <v>Inkrement 1</v>
      </c>
      <c r="R13" s="387" t="s">
        <v>166</v>
      </c>
      <c r="S13" s="387" t="s">
        <v>1095</v>
      </c>
      <c r="T13" s="388"/>
      <c r="U13" s="388"/>
      <c r="V13" s="388"/>
      <c r="W13" s="388"/>
      <c r="X13" s="388"/>
      <c r="Y13" s="388"/>
      <c r="Z13" s="388"/>
      <c r="AA13" s="388"/>
      <c r="AB13" s="388"/>
      <c r="AC13" s="388"/>
      <c r="AD13" s="388"/>
      <c r="AE13" s="388"/>
      <c r="AF13" s="394"/>
      <c r="AG13" s="388"/>
    </row>
    <row r="14" spans="1:33" ht="25.5">
      <c r="A14" s="404" t="s">
        <v>847</v>
      </c>
      <c r="B14" s="404" t="s">
        <v>747</v>
      </c>
      <c r="C14" s="535" t="s">
        <v>829</v>
      </c>
      <c r="D14" s="392" t="s">
        <v>848</v>
      </c>
      <c r="E14" s="535" t="s">
        <v>849</v>
      </c>
      <c r="F14" s="392" t="s">
        <v>815</v>
      </c>
      <c r="G14" s="392" t="s">
        <v>797</v>
      </c>
      <c r="H14" s="382">
        <v>1</v>
      </c>
      <c r="I14" s="382">
        <v>5</v>
      </c>
      <c r="J14" s="382">
        <f t="shared" si="0"/>
        <v>1</v>
      </c>
      <c r="K14" s="382">
        <f t="shared" si="1"/>
        <v>5</v>
      </c>
      <c r="L14" s="646">
        <f>IFERROR(IF(B14="funkcna poziadavka",VLOOKUP(G14,MODULY_CBA!$B$3:$E$23,4,0)*H14/SUMIFS($H$3:$H$199,$G$3:$G$199,G14,$B$3:$B$199,B14),),)</f>
        <v>9.45945945945946E-2</v>
      </c>
      <c r="M14" s="382">
        <f>IFERROR(IF(B14="Funkcna poziadavka",VLOOKUP(G14,MODULY_CBA!$B$3:$E$23,3,0),),)</f>
        <v>1.4</v>
      </c>
      <c r="N14" s="382">
        <f>IFERROR(IF(B14="funkcna poziadavka",VLOOKUP(G14,MODULY_CBA!$B$3:$E$23,2,0),),)</f>
        <v>0.6</v>
      </c>
      <c r="O14" s="381">
        <f t="shared" si="3"/>
        <v>4.279459459459459</v>
      </c>
      <c r="P14" s="380">
        <f>IFERROR(O14*VLOOKUP(G14,MODULY_CBA!$B$3:$F$23,5,0),)</f>
        <v>85.589189189189185</v>
      </c>
      <c r="Q14" s="482" t="str">
        <f>IFERROR(VLOOKUP(G14,MODULY_CBA!$B$3:$I$23,6,0),"")</f>
        <v>Inkrement 1</v>
      </c>
      <c r="R14" s="387" t="s">
        <v>166</v>
      </c>
      <c r="S14" s="387" t="s">
        <v>1095</v>
      </c>
      <c r="T14" s="388"/>
      <c r="U14" s="388"/>
      <c r="V14" s="388"/>
      <c r="W14" s="388"/>
      <c r="X14" s="388"/>
      <c r="Y14" s="388"/>
      <c r="Z14" s="388"/>
      <c r="AA14" s="388"/>
      <c r="AB14" s="388"/>
      <c r="AC14" s="388"/>
      <c r="AD14" s="388"/>
      <c r="AE14" s="388"/>
      <c r="AF14" s="394"/>
      <c r="AG14" s="388"/>
    </row>
    <row r="15" spans="1:33" ht="25.5">
      <c r="A15" s="404" t="s">
        <v>850</v>
      </c>
      <c r="B15" s="404" t="s">
        <v>747</v>
      </c>
      <c r="C15" s="535" t="s">
        <v>829</v>
      </c>
      <c r="D15" s="392" t="s">
        <v>851</v>
      </c>
      <c r="E15" s="535" t="s">
        <v>852</v>
      </c>
      <c r="F15" s="392" t="s">
        <v>815</v>
      </c>
      <c r="G15" s="392" t="s">
        <v>797</v>
      </c>
      <c r="H15" s="382">
        <v>1</v>
      </c>
      <c r="I15" s="382">
        <v>5</v>
      </c>
      <c r="J15" s="382">
        <f t="shared" si="0"/>
        <v>1</v>
      </c>
      <c r="K15" s="382">
        <f t="shared" si="1"/>
        <v>5</v>
      </c>
      <c r="L15" s="646">
        <f>IFERROR(IF(B15="funkcna poziadavka",VLOOKUP(G15,MODULY_CBA!$B$3:$E$23,4,0)*H15/SUMIFS($H$3:$H$199,$G$3:$G$199,G15,$B$3:$B$199,B15),),)</f>
        <v>9.45945945945946E-2</v>
      </c>
      <c r="M15" s="382">
        <f>IFERROR(IF(B15="Funkcna poziadavka",VLOOKUP(G15,MODULY_CBA!$B$3:$E$23,3,0),),)</f>
        <v>1.4</v>
      </c>
      <c r="N15" s="382">
        <f>IFERROR(IF(B15="funkcna poziadavka",VLOOKUP(G15,MODULY_CBA!$B$3:$E$23,2,0),),)</f>
        <v>0.6</v>
      </c>
      <c r="O15" s="381">
        <f t="shared" si="3"/>
        <v>4.279459459459459</v>
      </c>
      <c r="P15" s="380">
        <f>IFERROR(O15*VLOOKUP(G15,MODULY_CBA!$B$3:$F$23,5,0),)</f>
        <v>85.589189189189185</v>
      </c>
      <c r="Q15" s="482" t="str">
        <f>IFERROR(VLOOKUP(G15,MODULY_CBA!$B$3:$I$23,6,0),"")</f>
        <v>Inkrement 1</v>
      </c>
      <c r="R15" s="387" t="s">
        <v>166</v>
      </c>
      <c r="S15" s="387" t="s">
        <v>1095</v>
      </c>
      <c r="T15" s="388"/>
      <c r="U15" s="388"/>
      <c r="V15" s="388"/>
      <c r="W15" s="388"/>
      <c r="X15" s="388"/>
      <c r="Y15" s="388"/>
      <c r="Z15" s="388"/>
      <c r="AA15" s="388"/>
      <c r="AB15" s="388"/>
      <c r="AC15" s="388"/>
      <c r="AD15" s="388"/>
      <c r="AE15" s="388"/>
      <c r="AF15" s="394"/>
      <c r="AG15" s="388"/>
    </row>
    <row r="16" spans="1:33">
      <c r="A16" s="404" t="s">
        <v>853</v>
      </c>
      <c r="B16" s="404" t="s">
        <v>747</v>
      </c>
      <c r="C16" s="535" t="s">
        <v>854</v>
      </c>
      <c r="D16" s="537" t="s">
        <v>855</v>
      </c>
      <c r="E16" s="535" t="s">
        <v>856</v>
      </c>
      <c r="F16" s="392" t="s">
        <v>815</v>
      </c>
      <c r="G16" s="392" t="s">
        <v>797</v>
      </c>
      <c r="H16" s="382">
        <v>1</v>
      </c>
      <c r="I16" s="382">
        <v>5</v>
      </c>
      <c r="J16" s="382">
        <f t="shared" si="0"/>
        <v>1</v>
      </c>
      <c r="K16" s="382">
        <f t="shared" si="1"/>
        <v>5</v>
      </c>
      <c r="L16" s="646">
        <f>IFERROR(IF(B16="funkcna poziadavka",VLOOKUP(G16,MODULY_CBA!$B$3:$E$23,4,0)*H16/SUMIFS($H$3:$H$199,$G$3:$G$199,G16,$B$3:$B$199,B16),),)</f>
        <v>9.45945945945946E-2</v>
      </c>
      <c r="M16" s="382">
        <f>IFERROR(IF(B16="Funkcna poziadavka",VLOOKUP(G16,MODULY_CBA!$B$3:$E$23,3,0),),)</f>
        <v>1.4</v>
      </c>
      <c r="N16" s="382">
        <f>IFERROR(IF(B16="funkcna poziadavka",VLOOKUP(G16,MODULY_CBA!$B$3:$E$23,2,0),),)</f>
        <v>0.6</v>
      </c>
      <c r="O16" s="381">
        <f t="shared" si="3"/>
        <v>4.279459459459459</v>
      </c>
      <c r="P16" s="380">
        <f>IFERROR(O16*VLOOKUP(G16,MODULY_CBA!$B$3:$F$23,5,0),)</f>
        <v>85.589189189189185</v>
      </c>
      <c r="Q16" s="482" t="str">
        <f>IFERROR(VLOOKUP(G16,MODULY_CBA!$B$3:$I$23,6,0),"")</f>
        <v>Inkrement 1</v>
      </c>
      <c r="R16" s="387" t="s">
        <v>166</v>
      </c>
      <c r="S16" s="387" t="s">
        <v>1095</v>
      </c>
      <c r="T16" s="388"/>
      <c r="U16" s="388"/>
      <c r="V16" s="388"/>
      <c r="W16" s="388"/>
      <c r="X16" s="388"/>
      <c r="Y16" s="388"/>
      <c r="Z16" s="388"/>
      <c r="AA16" s="388"/>
      <c r="AB16" s="388"/>
      <c r="AC16" s="388"/>
      <c r="AD16" s="388"/>
      <c r="AE16" s="388"/>
      <c r="AF16" s="394"/>
      <c r="AG16" s="388"/>
    </row>
    <row r="17" spans="1:33">
      <c r="A17" s="404" t="s">
        <v>857</v>
      </c>
      <c r="B17" s="404" t="s">
        <v>747</v>
      </c>
      <c r="C17" s="535" t="s">
        <v>854</v>
      </c>
      <c r="D17" s="537" t="s">
        <v>858</v>
      </c>
      <c r="E17" s="535" t="s">
        <v>859</v>
      </c>
      <c r="F17" s="392" t="s">
        <v>815</v>
      </c>
      <c r="G17" s="392" t="s">
        <v>797</v>
      </c>
      <c r="H17" s="382">
        <v>1</v>
      </c>
      <c r="I17" s="382">
        <v>5</v>
      </c>
      <c r="J17" s="382">
        <f t="shared" si="0"/>
        <v>1</v>
      </c>
      <c r="K17" s="382">
        <f t="shared" si="1"/>
        <v>5</v>
      </c>
      <c r="L17" s="646">
        <f>IFERROR(IF(B17="funkcna poziadavka",VLOOKUP(G17,MODULY_CBA!$B$3:$E$23,4,0)*H17/SUMIFS($H$3:$H$199,$G$3:$G$199,G17,$B$3:$B$199,B17),),)</f>
        <v>9.45945945945946E-2</v>
      </c>
      <c r="M17" s="382">
        <f>IFERROR(IF(B17="Funkcna poziadavka",VLOOKUP(G17,MODULY_CBA!$B$3:$E$23,3,0),),)</f>
        <v>1.4</v>
      </c>
      <c r="N17" s="382">
        <f>IFERROR(IF(B17="funkcna poziadavka",VLOOKUP(G17,MODULY_CBA!$B$3:$E$23,2,0),),)</f>
        <v>0.6</v>
      </c>
      <c r="O17" s="381">
        <f t="shared" si="3"/>
        <v>4.279459459459459</v>
      </c>
      <c r="P17" s="380">
        <f>IFERROR(O17*VLOOKUP(G17,MODULY_CBA!$B$3:$F$23,5,0),)</f>
        <v>85.589189189189185</v>
      </c>
      <c r="Q17" s="482" t="str">
        <f>IFERROR(VLOOKUP(G17,MODULY_CBA!$B$3:$I$23,6,0),"")</f>
        <v>Inkrement 1</v>
      </c>
      <c r="R17" s="387" t="s">
        <v>166</v>
      </c>
      <c r="S17" s="387" t="s">
        <v>1095</v>
      </c>
      <c r="T17" s="388"/>
      <c r="U17" s="388"/>
      <c r="V17" s="388"/>
      <c r="W17" s="388"/>
      <c r="X17" s="388"/>
      <c r="Y17" s="388"/>
      <c r="Z17" s="388"/>
      <c r="AA17" s="388"/>
      <c r="AB17" s="388"/>
      <c r="AC17" s="388"/>
      <c r="AD17" s="388"/>
      <c r="AE17" s="388"/>
      <c r="AF17" s="394"/>
      <c r="AG17" s="388"/>
    </row>
    <row r="18" spans="1:33">
      <c r="A18" s="404" t="s">
        <v>860</v>
      </c>
      <c r="B18" s="404" t="s">
        <v>747</v>
      </c>
      <c r="C18" s="535" t="s">
        <v>854</v>
      </c>
      <c r="D18" s="537" t="s">
        <v>861</v>
      </c>
      <c r="E18" s="535" t="s">
        <v>862</v>
      </c>
      <c r="F18" s="392" t="s">
        <v>815</v>
      </c>
      <c r="G18" s="392" t="s">
        <v>797</v>
      </c>
      <c r="H18" s="382">
        <v>1</v>
      </c>
      <c r="I18" s="382">
        <v>5</v>
      </c>
      <c r="J18" s="382">
        <f t="shared" si="0"/>
        <v>1</v>
      </c>
      <c r="K18" s="382">
        <f t="shared" si="1"/>
        <v>5</v>
      </c>
      <c r="L18" s="646">
        <f>IFERROR(IF(B18="funkcna poziadavka",VLOOKUP(G18,MODULY_CBA!$B$3:$E$23,4,0)*H18/SUMIFS($H$3:$H$199,$G$3:$G$199,G18,$B$3:$B$199,B18),),)</f>
        <v>9.45945945945946E-2</v>
      </c>
      <c r="M18" s="382">
        <f>IFERROR(IF(B18="Funkcna poziadavka",VLOOKUP(G18,MODULY_CBA!$B$3:$E$23,3,0),),)</f>
        <v>1.4</v>
      </c>
      <c r="N18" s="382">
        <f>IFERROR(IF(B18="funkcna poziadavka",VLOOKUP(G18,MODULY_CBA!$B$3:$E$23,2,0),),)</f>
        <v>0.6</v>
      </c>
      <c r="O18" s="381">
        <f t="shared" si="3"/>
        <v>4.279459459459459</v>
      </c>
      <c r="P18" s="380">
        <f>IFERROR(O18*VLOOKUP(G18,MODULY_CBA!$B$3:$F$23,5,0),)</f>
        <v>85.589189189189185</v>
      </c>
      <c r="Q18" s="482" t="str">
        <f>IFERROR(VLOOKUP(G18,MODULY_CBA!$B$3:$I$23,6,0),"")</f>
        <v>Inkrement 1</v>
      </c>
      <c r="R18" s="387" t="s">
        <v>166</v>
      </c>
      <c r="S18" s="387" t="s">
        <v>1095</v>
      </c>
      <c r="T18" s="388"/>
      <c r="U18" s="388"/>
      <c r="V18" s="388"/>
      <c r="W18" s="388"/>
      <c r="X18" s="388"/>
      <c r="Y18" s="388"/>
      <c r="Z18" s="388"/>
      <c r="AA18" s="388"/>
      <c r="AB18" s="388"/>
      <c r="AC18" s="388"/>
      <c r="AD18" s="388"/>
      <c r="AE18" s="388"/>
      <c r="AF18" s="394"/>
      <c r="AG18" s="388"/>
    </row>
    <row r="19" spans="1:33">
      <c r="A19" s="404" t="s">
        <v>863</v>
      </c>
      <c r="B19" s="404" t="s">
        <v>747</v>
      </c>
      <c r="C19" s="535" t="s">
        <v>854</v>
      </c>
      <c r="D19" s="537" t="s">
        <v>864</v>
      </c>
      <c r="E19" s="535" t="s">
        <v>865</v>
      </c>
      <c r="F19" s="392" t="s">
        <v>815</v>
      </c>
      <c r="G19" s="392" t="s">
        <v>797</v>
      </c>
      <c r="H19" s="382">
        <v>1</v>
      </c>
      <c r="I19" s="382">
        <v>5</v>
      </c>
      <c r="J19" s="382">
        <f t="shared" si="0"/>
        <v>1</v>
      </c>
      <c r="K19" s="382">
        <f t="shared" si="1"/>
        <v>5</v>
      </c>
      <c r="L19" s="646">
        <f>IFERROR(IF(B19="funkcna poziadavka",VLOOKUP(G19,MODULY_CBA!$B$3:$E$23,4,0)*H19/SUMIFS($H$3:$H$199,$G$3:$G$199,G19,$B$3:$B$199,B19),),)</f>
        <v>9.45945945945946E-2</v>
      </c>
      <c r="M19" s="382">
        <f>IFERROR(IF(B19="Funkcna poziadavka",VLOOKUP(G19,MODULY_CBA!$B$3:$E$23,3,0),),)</f>
        <v>1.4</v>
      </c>
      <c r="N19" s="382">
        <f>IFERROR(IF(B19="funkcna poziadavka",VLOOKUP(G19,MODULY_CBA!$B$3:$E$23,2,0),),)</f>
        <v>0.6</v>
      </c>
      <c r="O19" s="381">
        <f t="shared" si="3"/>
        <v>4.279459459459459</v>
      </c>
      <c r="P19" s="380">
        <f>IFERROR(O19*VLOOKUP(G19,MODULY_CBA!$B$3:$F$23,5,0),)</f>
        <v>85.589189189189185</v>
      </c>
      <c r="Q19" s="482" t="str">
        <f>IFERROR(VLOOKUP(G19,MODULY_CBA!$B$3:$I$23,6,0),"")</f>
        <v>Inkrement 1</v>
      </c>
      <c r="R19" s="387" t="s">
        <v>166</v>
      </c>
      <c r="S19" s="387" t="s">
        <v>1095</v>
      </c>
      <c r="T19" s="378" t="s">
        <v>168</v>
      </c>
      <c r="U19" s="378" t="s">
        <v>168</v>
      </c>
      <c r="V19" s="378" t="s">
        <v>168</v>
      </c>
      <c r="W19" s="378" t="s">
        <v>168</v>
      </c>
      <c r="X19" s="378" t="s">
        <v>168</v>
      </c>
      <c r="Y19" s="378" t="s">
        <v>168</v>
      </c>
      <c r="Z19" s="378" t="s">
        <v>168</v>
      </c>
      <c r="AA19" s="378" t="s">
        <v>168</v>
      </c>
      <c r="AB19" s="378" t="s">
        <v>168</v>
      </c>
      <c r="AC19" s="378" t="s">
        <v>168</v>
      </c>
      <c r="AD19" s="378" t="s">
        <v>168</v>
      </c>
      <c r="AE19" s="378" t="s">
        <v>168</v>
      </c>
      <c r="AF19" s="394"/>
      <c r="AG19" s="388"/>
    </row>
    <row r="20" spans="1:33" ht="25.5">
      <c r="A20" s="404" t="s">
        <v>866</v>
      </c>
      <c r="B20" s="404" t="s">
        <v>747</v>
      </c>
      <c r="C20" s="535" t="s">
        <v>867</v>
      </c>
      <c r="D20" s="537" t="s">
        <v>868</v>
      </c>
      <c r="E20" s="535" t="s">
        <v>869</v>
      </c>
      <c r="F20" s="392" t="s">
        <v>815</v>
      </c>
      <c r="G20" s="392" t="s">
        <v>797</v>
      </c>
      <c r="H20" s="382">
        <v>1</v>
      </c>
      <c r="I20" s="382">
        <v>5</v>
      </c>
      <c r="J20" s="382">
        <f t="shared" si="0"/>
        <v>1</v>
      </c>
      <c r="K20" s="382">
        <f t="shared" si="1"/>
        <v>5</v>
      </c>
      <c r="L20" s="646">
        <f>IFERROR(IF(B20="funkcna poziadavka",VLOOKUP(G20,MODULY_CBA!$B$3:$E$23,4,0)*H20/SUMIFS($H$3:$H$199,$G$3:$G$199,G20,$B$3:$B$199,B20),),)</f>
        <v>9.45945945945946E-2</v>
      </c>
      <c r="M20" s="382">
        <f>IFERROR(IF(B20="Funkcna poziadavka",VLOOKUP(G20,MODULY_CBA!$B$3:$E$23,3,0),),)</f>
        <v>1.4</v>
      </c>
      <c r="N20" s="382">
        <f>IFERROR(IF(B20="funkcna poziadavka",VLOOKUP(G20,MODULY_CBA!$B$3:$E$23,2,0),),)</f>
        <v>0.6</v>
      </c>
      <c r="O20" s="381">
        <f t="shared" si="3"/>
        <v>4.279459459459459</v>
      </c>
      <c r="P20" s="380">
        <f>IFERROR(O20*VLOOKUP(G20,MODULY_CBA!$B$3:$F$23,5,0),)</f>
        <v>85.589189189189185</v>
      </c>
      <c r="Q20" s="482" t="str">
        <f>IFERROR(VLOOKUP(G20,MODULY_CBA!$B$3:$I$23,6,0),"")</f>
        <v>Inkrement 1</v>
      </c>
      <c r="R20" s="387" t="s">
        <v>166</v>
      </c>
      <c r="S20" s="387" t="s">
        <v>1095</v>
      </c>
      <c r="T20" s="378"/>
      <c r="U20" s="378"/>
      <c r="V20" s="378"/>
      <c r="W20" s="378"/>
      <c r="X20" s="378"/>
      <c r="Y20" s="378"/>
      <c r="Z20" s="378"/>
      <c r="AA20" s="378"/>
      <c r="AB20" s="378"/>
      <c r="AC20" s="378"/>
      <c r="AD20" s="378"/>
      <c r="AE20" s="378"/>
      <c r="AF20" s="394"/>
      <c r="AG20" s="388"/>
    </row>
    <row r="21" spans="1:33" ht="25.5">
      <c r="A21" s="404" t="s">
        <v>870</v>
      </c>
      <c r="B21" s="404" t="s">
        <v>747</v>
      </c>
      <c r="C21" s="535" t="s">
        <v>867</v>
      </c>
      <c r="D21" s="537" t="s">
        <v>871</v>
      </c>
      <c r="E21" s="535" t="s">
        <v>872</v>
      </c>
      <c r="F21" s="392" t="s">
        <v>815</v>
      </c>
      <c r="G21" s="392" t="s">
        <v>797</v>
      </c>
      <c r="H21" s="382">
        <v>1</v>
      </c>
      <c r="I21" s="382">
        <v>5</v>
      </c>
      <c r="J21" s="382">
        <f t="shared" si="0"/>
        <v>1</v>
      </c>
      <c r="K21" s="382">
        <f t="shared" si="1"/>
        <v>5</v>
      </c>
      <c r="L21" s="646">
        <f>IFERROR(IF(B21="funkcna poziadavka",VLOOKUP(G21,MODULY_CBA!$B$3:$E$23,4,0)*H21/SUMIFS($H$3:$H$199,$G$3:$G$199,G21,$B$3:$B$199,B21),),)</f>
        <v>9.45945945945946E-2</v>
      </c>
      <c r="M21" s="382">
        <f>IFERROR(IF(B21="Funkcna poziadavka",VLOOKUP(G21,MODULY_CBA!$B$3:$E$23,3,0),),)</f>
        <v>1.4</v>
      </c>
      <c r="N21" s="382">
        <f>IFERROR(IF(B21="funkcna poziadavka",VLOOKUP(G21,MODULY_CBA!$B$3:$E$23,2,0),),)</f>
        <v>0.6</v>
      </c>
      <c r="O21" s="381">
        <f t="shared" si="3"/>
        <v>4.279459459459459</v>
      </c>
      <c r="P21" s="380">
        <f>IFERROR(O21*VLOOKUP(G21,MODULY_CBA!$B$3:$F$23,5,0),)</f>
        <v>85.589189189189185</v>
      </c>
      <c r="Q21" s="482" t="str">
        <f>IFERROR(VLOOKUP(G21,MODULY_CBA!$B$3:$I$23,6,0),"")</f>
        <v>Inkrement 1</v>
      </c>
      <c r="R21" s="387" t="s">
        <v>166</v>
      </c>
      <c r="S21" s="387" t="s">
        <v>1095</v>
      </c>
      <c r="T21" s="378"/>
      <c r="U21" s="378"/>
      <c r="V21" s="378"/>
      <c r="W21" s="378"/>
      <c r="X21" s="378"/>
      <c r="Y21" s="378"/>
      <c r="Z21" s="378"/>
      <c r="AA21" s="378"/>
      <c r="AB21" s="378"/>
      <c r="AC21" s="378"/>
      <c r="AD21" s="378"/>
      <c r="AE21" s="378"/>
      <c r="AF21" s="394"/>
      <c r="AG21" s="388"/>
    </row>
    <row r="22" spans="1:33" ht="25.5">
      <c r="A22" s="404" t="s">
        <v>873</v>
      </c>
      <c r="B22" s="404" t="s">
        <v>747</v>
      </c>
      <c r="C22" s="535" t="s">
        <v>867</v>
      </c>
      <c r="D22" s="537" t="s">
        <v>874</v>
      </c>
      <c r="E22" s="535" t="s">
        <v>875</v>
      </c>
      <c r="F22" s="392" t="s">
        <v>815</v>
      </c>
      <c r="G22" s="392" t="s">
        <v>797</v>
      </c>
      <c r="H22" s="382">
        <v>1</v>
      </c>
      <c r="I22" s="382">
        <v>5</v>
      </c>
      <c r="J22" s="382">
        <f t="shared" si="0"/>
        <v>1</v>
      </c>
      <c r="K22" s="382">
        <f t="shared" si="1"/>
        <v>5</v>
      </c>
      <c r="L22" s="646">
        <f>IFERROR(IF(B22="funkcna poziadavka",VLOOKUP(G22,MODULY_CBA!$B$3:$E$23,4,0)*H22/SUMIFS($H$3:$H$199,$G$3:$G$199,G22,$B$3:$B$199,B22),),)</f>
        <v>9.45945945945946E-2</v>
      </c>
      <c r="M22" s="382">
        <f>IFERROR(IF(B22="Funkcna poziadavka",VLOOKUP(G22,MODULY_CBA!$B$3:$E$23,3,0),),)</f>
        <v>1.4</v>
      </c>
      <c r="N22" s="382">
        <f>IFERROR(IF(B22="funkcna poziadavka",VLOOKUP(G22,MODULY_CBA!$B$3:$E$23,2,0),),)</f>
        <v>0.6</v>
      </c>
      <c r="O22" s="381">
        <f t="shared" si="3"/>
        <v>4.279459459459459</v>
      </c>
      <c r="P22" s="380">
        <f>IFERROR(O22*VLOOKUP(G22,MODULY_CBA!$B$3:$F$23,5,0),)</f>
        <v>85.589189189189185</v>
      </c>
      <c r="Q22" s="482" t="str">
        <f>IFERROR(VLOOKUP(G22,MODULY_CBA!$B$3:$I$23,6,0),"")</f>
        <v>Inkrement 1</v>
      </c>
      <c r="R22" s="387" t="s">
        <v>166</v>
      </c>
      <c r="S22" s="387" t="s">
        <v>1095</v>
      </c>
      <c r="T22" s="378"/>
      <c r="U22" s="378"/>
      <c r="V22" s="378"/>
      <c r="W22" s="378"/>
      <c r="X22" s="378"/>
      <c r="Y22" s="378"/>
      <c r="Z22" s="378"/>
      <c r="AA22" s="378"/>
      <c r="AB22" s="378"/>
      <c r="AC22" s="378"/>
      <c r="AD22" s="378"/>
      <c r="AE22" s="378"/>
      <c r="AF22" s="394"/>
      <c r="AG22" s="388"/>
    </row>
    <row r="23" spans="1:33" ht="25.5">
      <c r="A23" s="404" t="s">
        <v>876</v>
      </c>
      <c r="B23" s="404" t="s">
        <v>747</v>
      </c>
      <c r="C23" s="535" t="s">
        <v>867</v>
      </c>
      <c r="D23" s="537" t="s">
        <v>877</v>
      </c>
      <c r="E23" s="535" t="s">
        <v>878</v>
      </c>
      <c r="F23" s="392" t="s">
        <v>815</v>
      </c>
      <c r="G23" s="392" t="s">
        <v>797</v>
      </c>
      <c r="H23" s="382">
        <v>1</v>
      </c>
      <c r="I23" s="382">
        <v>5</v>
      </c>
      <c r="J23" s="382">
        <f t="shared" si="0"/>
        <v>1</v>
      </c>
      <c r="K23" s="382">
        <f t="shared" si="1"/>
        <v>5</v>
      </c>
      <c r="L23" s="646">
        <f>IFERROR(IF(B23="funkcna poziadavka",VLOOKUP(G23,MODULY_CBA!$B$3:$E$23,4,0)*H23/SUMIFS($H$3:$H$199,$G$3:$G$199,G23,$B$3:$B$199,B23),),)</f>
        <v>9.45945945945946E-2</v>
      </c>
      <c r="M23" s="382">
        <f>IFERROR(IF(B23="Funkcna poziadavka",VLOOKUP(G23,MODULY_CBA!$B$3:$E$23,3,0),),)</f>
        <v>1.4</v>
      </c>
      <c r="N23" s="382">
        <f>IFERROR(IF(B23="funkcna poziadavka",VLOOKUP(G23,MODULY_CBA!$B$3:$E$23,2,0),),)</f>
        <v>0.6</v>
      </c>
      <c r="O23" s="381">
        <f t="shared" si="3"/>
        <v>4.279459459459459</v>
      </c>
      <c r="P23" s="380">
        <f>IFERROR(O23*VLOOKUP(G23,MODULY_CBA!$B$3:$F$23,5,0),)</f>
        <v>85.589189189189185</v>
      </c>
      <c r="Q23" s="482" t="str">
        <f>IFERROR(VLOOKUP(G23,MODULY_CBA!$B$3:$I$23,6,0),"")</f>
        <v>Inkrement 1</v>
      </c>
      <c r="R23" s="387" t="s">
        <v>166</v>
      </c>
      <c r="S23" s="387" t="s">
        <v>1095</v>
      </c>
      <c r="T23" s="378"/>
      <c r="U23" s="378"/>
      <c r="V23" s="378"/>
      <c r="W23" s="378"/>
      <c r="X23" s="378"/>
      <c r="Y23" s="378"/>
      <c r="Z23" s="378"/>
      <c r="AA23" s="378"/>
      <c r="AB23" s="378"/>
      <c r="AC23" s="378"/>
      <c r="AD23" s="378"/>
      <c r="AE23" s="378"/>
      <c r="AF23" s="394"/>
      <c r="AG23" s="388"/>
    </row>
    <row r="24" spans="1:33" ht="25.5">
      <c r="A24" s="404" t="s">
        <v>879</v>
      </c>
      <c r="B24" s="404" t="s">
        <v>747</v>
      </c>
      <c r="C24" s="535" t="s">
        <v>867</v>
      </c>
      <c r="D24" s="537" t="s">
        <v>880</v>
      </c>
      <c r="E24" s="535" t="s">
        <v>881</v>
      </c>
      <c r="F24" s="392" t="s">
        <v>815</v>
      </c>
      <c r="G24" s="392" t="s">
        <v>797</v>
      </c>
      <c r="H24" s="382">
        <v>1</v>
      </c>
      <c r="I24" s="382">
        <v>5</v>
      </c>
      <c r="J24" s="382">
        <f t="shared" si="0"/>
        <v>1</v>
      </c>
      <c r="K24" s="382">
        <f t="shared" si="1"/>
        <v>5</v>
      </c>
      <c r="L24" s="646">
        <f>IFERROR(IF(B24="funkcna poziadavka",VLOOKUP(G24,MODULY_CBA!$B$3:$E$23,4,0)*H24/SUMIFS($H$3:$H$199,$G$3:$G$199,G24,$B$3:$B$199,B24),),)</f>
        <v>9.45945945945946E-2</v>
      </c>
      <c r="M24" s="382">
        <f>IFERROR(IF(B24="Funkcna poziadavka",VLOOKUP(G24,MODULY_CBA!$B$3:$E$23,3,0),),)</f>
        <v>1.4</v>
      </c>
      <c r="N24" s="382">
        <f>IFERROR(IF(B24="funkcna poziadavka",VLOOKUP(G24,MODULY_CBA!$B$3:$E$23,2,0),),)</f>
        <v>0.6</v>
      </c>
      <c r="O24" s="381">
        <f t="shared" si="3"/>
        <v>4.279459459459459</v>
      </c>
      <c r="P24" s="380">
        <f>IFERROR(O24*VLOOKUP(G24,MODULY_CBA!$B$3:$F$23,5,0),)</f>
        <v>85.589189189189185</v>
      </c>
      <c r="Q24" s="482" t="str">
        <f>IFERROR(VLOOKUP(G24,MODULY_CBA!$B$3:$I$23,6,0),"")</f>
        <v>Inkrement 1</v>
      </c>
      <c r="R24" s="387" t="s">
        <v>166</v>
      </c>
      <c r="S24" s="387" t="s">
        <v>1095</v>
      </c>
      <c r="T24" s="378" t="s">
        <v>168</v>
      </c>
      <c r="U24" s="378" t="s">
        <v>168</v>
      </c>
      <c r="V24" s="378" t="s">
        <v>168</v>
      </c>
      <c r="W24" s="378" t="s">
        <v>168</v>
      </c>
      <c r="X24" s="378" t="s">
        <v>168</v>
      </c>
      <c r="Y24" s="378" t="s">
        <v>168</v>
      </c>
      <c r="Z24" s="378" t="s">
        <v>168</v>
      </c>
      <c r="AA24" s="378" t="s">
        <v>168</v>
      </c>
      <c r="AB24" s="378" t="s">
        <v>168</v>
      </c>
      <c r="AC24" s="378" t="s">
        <v>168</v>
      </c>
      <c r="AD24" s="378" t="s">
        <v>168</v>
      </c>
      <c r="AE24" s="378" t="s">
        <v>168</v>
      </c>
      <c r="AF24" s="394"/>
      <c r="AG24" s="388"/>
    </row>
    <row r="25" spans="1:33" ht="25.5">
      <c r="A25" s="404" t="s">
        <v>882</v>
      </c>
      <c r="B25" s="404" t="s">
        <v>747</v>
      </c>
      <c r="C25" s="535" t="s">
        <v>867</v>
      </c>
      <c r="D25" s="537" t="s">
        <v>883</v>
      </c>
      <c r="E25" s="535" t="s">
        <v>884</v>
      </c>
      <c r="F25" s="392" t="s">
        <v>815</v>
      </c>
      <c r="G25" s="392" t="s">
        <v>797</v>
      </c>
      <c r="H25" s="382">
        <v>1</v>
      </c>
      <c r="I25" s="382">
        <v>5</v>
      </c>
      <c r="J25" s="382">
        <f t="shared" si="0"/>
        <v>1</v>
      </c>
      <c r="K25" s="382">
        <f t="shared" si="1"/>
        <v>5</v>
      </c>
      <c r="L25" s="646">
        <f>IFERROR(IF(B25="funkcna poziadavka",VLOOKUP(G25,MODULY_CBA!$B$3:$E$23,4,0)*H25/SUMIFS($H$3:$H$199,$G$3:$G$199,G25,$B$3:$B$199,B25),),)</f>
        <v>9.45945945945946E-2</v>
      </c>
      <c r="M25" s="382">
        <f>IFERROR(IF(B25="Funkcna poziadavka",VLOOKUP(G25,MODULY_CBA!$B$3:$E$23,3,0),),)</f>
        <v>1.4</v>
      </c>
      <c r="N25" s="382">
        <f>IFERROR(IF(B25="funkcna poziadavka",VLOOKUP(G25,MODULY_CBA!$B$3:$E$23,2,0),),)</f>
        <v>0.6</v>
      </c>
      <c r="O25" s="381">
        <f t="shared" si="3"/>
        <v>4.279459459459459</v>
      </c>
      <c r="P25" s="380">
        <f>IFERROR(O25*VLOOKUP(G25,MODULY_CBA!$B$3:$F$23,5,0),)</f>
        <v>85.589189189189185</v>
      </c>
      <c r="Q25" s="482" t="str">
        <f>IFERROR(VLOOKUP(G25,MODULY_CBA!$B$3:$I$23,6,0),"")</f>
        <v>Inkrement 1</v>
      </c>
      <c r="R25" s="387" t="s">
        <v>166</v>
      </c>
      <c r="S25" s="387" t="s">
        <v>1095</v>
      </c>
      <c r="T25" s="378" t="s">
        <v>168</v>
      </c>
      <c r="U25" s="378" t="s">
        <v>168</v>
      </c>
      <c r="V25" s="378" t="s">
        <v>168</v>
      </c>
      <c r="W25" s="378" t="s">
        <v>168</v>
      </c>
      <c r="X25" s="378" t="s">
        <v>168</v>
      </c>
      <c r="Y25" s="378" t="s">
        <v>168</v>
      </c>
      <c r="Z25" s="378" t="s">
        <v>168</v>
      </c>
      <c r="AA25" s="378" t="s">
        <v>168</v>
      </c>
      <c r="AB25" s="378" t="s">
        <v>168</v>
      </c>
      <c r="AC25" s="378" t="s">
        <v>168</v>
      </c>
      <c r="AD25" s="378" t="s">
        <v>168</v>
      </c>
      <c r="AE25" s="378" t="s">
        <v>168</v>
      </c>
      <c r="AF25" s="395"/>
      <c r="AG25" s="387"/>
    </row>
    <row r="26" spans="1:33" ht="25.5">
      <c r="A26" s="404" t="s">
        <v>885</v>
      </c>
      <c r="B26" s="404" t="s">
        <v>747</v>
      </c>
      <c r="C26" s="535" t="s">
        <v>867</v>
      </c>
      <c r="D26" s="537" t="s">
        <v>886</v>
      </c>
      <c r="E26" s="535" t="s">
        <v>887</v>
      </c>
      <c r="F26" s="392" t="s">
        <v>815</v>
      </c>
      <c r="G26" s="392" t="s">
        <v>797</v>
      </c>
      <c r="H26" s="382">
        <v>1</v>
      </c>
      <c r="I26" s="382">
        <v>5</v>
      </c>
      <c r="J26" s="382">
        <f t="shared" si="0"/>
        <v>1</v>
      </c>
      <c r="K26" s="382">
        <f t="shared" si="1"/>
        <v>5</v>
      </c>
      <c r="L26" s="646">
        <f>IFERROR(IF(B26="funkcna poziadavka",VLOOKUP(G26,MODULY_CBA!$B$3:$E$23,4,0)*H26/SUMIFS($H$3:$H$199,$G$3:$G$199,G26,$B$3:$B$199,B26),),)</f>
        <v>9.45945945945946E-2</v>
      </c>
      <c r="M26" s="382">
        <f>IFERROR(IF(B26="Funkcna poziadavka",VLOOKUP(G26,MODULY_CBA!$B$3:$E$23,3,0),),)</f>
        <v>1.4</v>
      </c>
      <c r="N26" s="382">
        <f>IFERROR(IF(B26="funkcna poziadavka",VLOOKUP(G26,MODULY_CBA!$B$3:$E$23,2,0),),)</f>
        <v>0.6</v>
      </c>
      <c r="O26" s="381">
        <f t="shared" si="3"/>
        <v>4.279459459459459</v>
      </c>
      <c r="P26" s="380">
        <f>IFERROR(O26*VLOOKUP(G26,MODULY_CBA!$B$3:$F$23,5,0),)</f>
        <v>85.589189189189185</v>
      </c>
      <c r="Q26" s="482" t="str">
        <f>IFERROR(VLOOKUP(G26,MODULY_CBA!$B$3:$I$23,6,0),"")</f>
        <v>Inkrement 1</v>
      </c>
      <c r="R26" s="387" t="s">
        <v>166</v>
      </c>
      <c r="S26" s="387" t="s">
        <v>1095</v>
      </c>
      <c r="T26" s="378"/>
      <c r="U26" s="378"/>
      <c r="V26" s="378"/>
      <c r="W26" s="378"/>
      <c r="X26" s="378"/>
      <c r="Y26" s="378"/>
      <c r="Z26" s="378"/>
      <c r="AA26" s="378"/>
      <c r="AB26" s="378"/>
      <c r="AC26" s="378"/>
      <c r="AD26" s="378"/>
      <c r="AE26" s="378"/>
      <c r="AF26" s="394"/>
      <c r="AG26" s="388"/>
    </row>
    <row r="27" spans="1:33" ht="25.5">
      <c r="A27" s="404" t="s">
        <v>888</v>
      </c>
      <c r="B27" s="404" t="s">
        <v>747</v>
      </c>
      <c r="C27" s="535" t="s">
        <v>867</v>
      </c>
      <c r="D27" s="537" t="s">
        <v>889</v>
      </c>
      <c r="E27" s="535" t="s">
        <v>890</v>
      </c>
      <c r="F27" s="392" t="s">
        <v>815</v>
      </c>
      <c r="G27" s="392" t="s">
        <v>797</v>
      </c>
      <c r="H27" s="382">
        <v>1</v>
      </c>
      <c r="I27" s="382">
        <v>5</v>
      </c>
      <c r="J27" s="382">
        <f t="shared" si="0"/>
        <v>1</v>
      </c>
      <c r="K27" s="382">
        <f t="shared" si="1"/>
        <v>5</v>
      </c>
      <c r="L27" s="646">
        <f>IFERROR(IF(B27="funkcna poziadavka",VLOOKUP(G27,MODULY_CBA!$B$3:$E$23,4,0)*H27/SUMIFS($H$3:$H$199,$G$3:$G$199,G27,$B$3:$B$199,B27),),)</f>
        <v>9.45945945945946E-2</v>
      </c>
      <c r="M27" s="382">
        <f>IFERROR(IF(B27="Funkcna poziadavka",VLOOKUP(G27,MODULY_CBA!$B$3:$E$23,3,0),),)</f>
        <v>1.4</v>
      </c>
      <c r="N27" s="382">
        <f>IFERROR(IF(B27="funkcna poziadavka",VLOOKUP(G27,MODULY_CBA!$B$3:$E$23,2,0),),)</f>
        <v>0.6</v>
      </c>
      <c r="O27" s="381">
        <f t="shared" si="3"/>
        <v>4.279459459459459</v>
      </c>
      <c r="P27" s="380">
        <f>IFERROR(O27*VLOOKUP(G27,MODULY_CBA!$B$3:$F$23,5,0),)</f>
        <v>85.589189189189185</v>
      </c>
      <c r="Q27" s="482" t="str">
        <f>IFERROR(VLOOKUP(G27,MODULY_CBA!$B$3:$I$23,6,0),"")</f>
        <v>Inkrement 1</v>
      </c>
      <c r="R27" s="387" t="s">
        <v>166</v>
      </c>
      <c r="S27" s="387" t="s">
        <v>1095</v>
      </c>
      <c r="T27" s="378" t="s">
        <v>168</v>
      </c>
      <c r="U27" s="378" t="s">
        <v>168</v>
      </c>
      <c r="V27" s="378" t="s">
        <v>168</v>
      </c>
      <c r="W27" s="378" t="s">
        <v>168</v>
      </c>
      <c r="X27" s="378" t="s">
        <v>168</v>
      </c>
      <c r="Y27" s="378" t="s">
        <v>168</v>
      </c>
      <c r="Z27" s="378" t="s">
        <v>168</v>
      </c>
      <c r="AA27" s="378" t="s">
        <v>168</v>
      </c>
      <c r="AB27" s="378" t="s">
        <v>168</v>
      </c>
      <c r="AC27" s="378" t="s">
        <v>168</v>
      </c>
      <c r="AD27" s="378" t="s">
        <v>168</v>
      </c>
      <c r="AE27" s="378" t="s">
        <v>168</v>
      </c>
      <c r="AF27" s="394"/>
      <c r="AG27" s="388"/>
    </row>
    <row r="28" spans="1:33" ht="25.5">
      <c r="A28" s="404" t="s">
        <v>891</v>
      </c>
      <c r="B28" s="404" t="s">
        <v>747</v>
      </c>
      <c r="C28" s="535" t="s">
        <v>867</v>
      </c>
      <c r="D28" s="537" t="s">
        <v>892</v>
      </c>
      <c r="E28" s="535" t="s">
        <v>893</v>
      </c>
      <c r="F28" s="392" t="s">
        <v>815</v>
      </c>
      <c r="G28" s="392" t="s">
        <v>797</v>
      </c>
      <c r="H28" s="382">
        <v>1</v>
      </c>
      <c r="I28" s="382">
        <v>5</v>
      </c>
      <c r="J28" s="382">
        <f t="shared" si="0"/>
        <v>1</v>
      </c>
      <c r="K28" s="382">
        <f t="shared" si="1"/>
        <v>5</v>
      </c>
      <c r="L28" s="646">
        <f>IFERROR(IF(B28="funkcna poziadavka",VLOOKUP(G28,MODULY_CBA!$B$3:$E$23,4,0)*H28/SUMIFS($H$3:$H$199,$G$3:$G$199,G28,$B$3:$B$199,B28),),)</f>
        <v>9.45945945945946E-2</v>
      </c>
      <c r="M28" s="382">
        <f>IFERROR(IF(B28="Funkcna poziadavka",VLOOKUP(G28,MODULY_CBA!$B$3:$E$23,3,0),),)</f>
        <v>1.4</v>
      </c>
      <c r="N28" s="382">
        <f>IFERROR(IF(B28="funkcna poziadavka",VLOOKUP(G28,MODULY_CBA!$B$3:$E$23,2,0),),)</f>
        <v>0.6</v>
      </c>
      <c r="O28" s="381">
        <f t="shared" si="3"/>
        <v>4.279459459459459</v>
      </c>
      <c r="P28" s="380">
        <f>IFERROR(O28*VLOOKUP(G28,MODULY_CBA!$B$3:$F$23,5,0),)</f>
        <v>85.589189189189185</v>
      </c>
      <c r="Q28" s="482" t="str">
        <f>IFERROR(VLOOKUP(G28,MODULY_CBA!$B$3:$I$23,6,0),"")</f>
        <v>Inkrement 1</v>
      </c>
      <c r="R28" s="387" t="s">
        <v>166</v>
      </c>
      <c r="S28" s="387" t="s">
        <v>1095</v>
      </c>
      <c r="T28" s="385" t="s">
        <v>168</v>
      </c>
      <c r="U28" s="385" t="s">
        <v>168</v>
      </c>
      <c r="V28" s="385" t="s">
        <v>168</v>
      </c>
      <c r="W28" s="385" t="s">
        <v>168</v>
      </c>
      <c r="X28" s="385" t="s">
        <v>168</v>
      </c>
      <c r="Y28" s="385" t="s">
        <v>168</v>
      </c>
      <c r="Z28" s="385" t="s">
        <v>168</v>
      </c>
      <c r="AA28" s="385" t="s">
        <v>168</v>
      </c>
      <c r="AB28" s="385" t="s">
        <v>168</v>
      </c>
      <c r="AC28" s="385" t="s">
        <v>168</v>
      </c>
      <c r="AD28" s="385" t="s">
        <v>168</v>
      </c>
      <c r="AE28" s="385" t="s">
        <v>168</v>
      </c>
      <c r="AF28" s="394"/>
      <c r="AG28" s="388"/>
    </row>
    <row r="29" spans="1:33" ht="25.5">
      <c r="A29" s="404" t="s">
        <v>894</v>
      </c>
      <c r="B29" s="404" t="s">
        <v>747</v>
      </c>
      <c r="C29" s="535" t="s">
        <v>867</v>
      </c>
      <c r="D29" s="537" t="s">
        <v>895</v>
      </c>
      <c r="E29" s="535" t="s">
        <v>896</v>
      </c>
      <c r="F29" s="392" t="s">
        <v>815</v>
      </c>
      <c r="G29" s="392" t="s">
        <v>797</v>
      </c>
      <c r="H29" s="382">
        <v>1</v>
      </c>
      <c r="I29" s="382">
        <v>5</v>
      </c>
      <c r="J29" s="382">
        <f t="shared" si="0"/>
        <v>1</v>
      </c>
      <c r="K29" s="382">
        <f t="shared" si="1"/>
        <v>5</v>
      </c>
      <c r="L29" s="646">
        <f>IFERROR(IF(B29="funkcna poziadavka",VLOOKUP(G29,MODULY_CBA!$B$3:$E$23,4,0)*H29/SUMIFS($H$3:$H$199,$G$3:$G$199,G29,$B$3:$B$199,B29),),)</f>
        <v>9.45945945945946E-2</v>
      </c>
      <c r="M29" s="382">
        <f>IFERROR(IF(B29="Funkcna poziadavka",VLOOKUP(G29,MODULY_CBA!$B$3:$E$23,3,0),),)</f>
        <v>1.4</v>
      </c>
      <c r="N29" s="382">
        <f>IFERROR(IF(B29="funkcna poziadavka",VLOOKUP(G29,MODULY_CBA!$B$3:$E$23,2,0),),)</f>
        <v>0.6</v>
      </c>
      <c r="O29" s="381">
        <f t="shared" si="3"/>
        <v>4.279459459459459</v>
      </c>
      <c r="P29" s="380">
        <f>IFERROR(O29*VLOOKUP(G29,MODULY_CBA!$B$3:$F$23,5,0),)</f>
        <v>85.589189189189185</v>
      </c>
      <c r="Q29" s="482" t="str">
        <f>IFERROR(VLOOKUP(G29,MODULY_CBA!$B$3:$I$23,6,0),"")</f>
        <v>Inkrement 1</v>
      </c>
      <c r="R29" s="387" t="s">
        <v>166</v>
      </c>
      <c r="S29" s="387" t="s">
        <v>1095</v>
      </c>
      <c r="T29" s="378"/>
      <c r="U29" s="378"/>
      <c r="V29" s="378"/>
      <c r="W29" s="378"/>
      <c r="X29" s="378"/>
      <c r="Y29" s="378"/>
      <c r="Z29" s="378"/>
      <c r="AA29" s="378"/>
      <c r="AB29" s="378"/>
      <c r="AC29" s="378"/>
      <c r="AD29" s="378"/>
      <c r="AE29" s="378"/>
      <c r="AF29" s="394"/>
      <c r="AG29" s="388"/>
    </row>
    <row r="30" spans="1:33" ht="25.5">
      <c r="A30" s="404" t="s">
        <v>897</v>
      </c>
      <c r="B30" s="404" t="s">
        <v>747</v>
      </c>
      <c r="C30" s="535" t="s">
        <v>898</v>
      </c>
      <c r="D30" s="537" t="s">
        <v>899</v>
      </c>
      <c r="E30" s="535" t="s">
        <v>900</v>
      </c>
      <c r="F30" s="392" t="s">
        <v>815</v>
      </c>
      <c r="G30" s="392" t="s">
        <v>797</v>
      </c>
      <c r="H30" s="382">
        <v>1</v>
      </c>
      <c r="I30" s="382">
        <v>5</v>
      </c>
      <c r="J30" s="382">
        <f t="shared" si="0"/>
        <v>1</v>
      </c>
      <c r="K30" s="382">
        <f t="shared" si="1"/>
        <v>5</v>
      </c>
      <c r="L30" s="646">
        <f>IFERROR(IF(B30="funkcna poziadavka",VLOOKUP(G30,MODULY_CBA!$B$3:$E$23,4,0)*H30/SUMIFS($H$3:$H$199,$G$3:$G$199,G30,$B$3:$B$199,B30),),)</f>
        <v>9.45945945945946E-2</v>
      </c>
      <c r="M30" s="382">
        <f>IFERROR(IF(B30="Funkcna poziadavka",VLOOKUP(G30,MODULY_CBA!$B$3:$E$23,3,0),),)</f>
        <v>1.4</v>
      </c>
      <c r="N30" s="382">
        <f>IFERROR(IF(B30="funkcna poziadavka",VLOOKUP(G30,MODULY_CBA!$B$3:$E$23,2,0),),)</f>
        <v>0.6</v>
      </c>
      <c r="O30" s="381">
        <f t="shared" si="3"/>
        <v>4.279459459459459</v>
      </c>
      <c r="P30" s="380">
        <f>IFERROR(O30*VLOOKUP(G30,MODULY_CBA!$B$3:$F$23,5,0),)</f>
        <v>85.589189189189185</v>
      </c>
      <c r="Q30" s="482" t="str">
        <f>IFERROR(VLOOKUP(G30,MODULY_CBA!$B$3:$I$23,6,0),"")</f>
        <v>Inkrement 1</v>
      </c>
      <c r="R30" s="387" t="s">
        <v>166</v>
      </c>
      <c r="S30" s="387" t="s">
        <v>1095</v>
      </c>
      <c r="T30" s="378"/>
      <c r="U30" s="378"/>
      <c r="V30" s="378"/>
      <c r="W30" s="378"/>
      <c r="X30" s="378"/>
      <c r="Y30" s="378"/>
      <c r="Z30" s="378"/>
      <c r="AA30" s="378"/>
      <c r="AB30" s="378"/>
      <c r="AC30" s="378"/>
      <c r="AD30" s="378"/>
      <c r="AE30" s="378"/>
      <c r="AF30" s="394"/>
      <c r="AG30" s="388"/>
    </row>
    <row r="31" spans="1:33" ht="25.5">
      <c r="A31" s="404" t="s">
        <v>901</v>
      </c>
      <c r="B31" s="404" t="s">
        <v>747</v>
      </c>
      <c r="C31" s="535" t="s">
        <v>898</v>
      </c>
      <c r="D31" s="537" t="s">
        <v>902</v>
      </c>
      <c r="E31" s="535" t="s">
        <v>903</v>
      </c>
      <c r="F31" s="392" t="s">
        <v>815</v>
      </c>
      <c r="G31" s="392" t="s">
        <v>797</v>
      </c>
      <c r="H31" s="382">
        <v>1</v>
      </c>
      <c r="I31" s="382">
        <v>5</v>
      </c>
      <c r="J31" s="382">
        <f t="shared" si="0"/>
        <v>1</v>
      </c>
      <c r="K31" s="382">
        <f t="shared" si="1"/>
        <v>5</v>
      </c>
      <c r="L31" s="646">
        <f>IFERROR(IF(B31="funkcna poziadavka",VLOOKUP(G31,MODULY_CBA!$B$3:$E$23,4,0)*H31/SUMIFS($H$3:$H$199,$G$3:$G$199,G31,$B$3:$B$199,B31),),)</f>
        <v>9.45945945945946E-2</v>
      </c>
      <c r="M31" s="382">
        <f>IFERROR(IF(B31="Funkcna poziadavka",VLOOKUP(G31,MODULY_CBA!$B$3:$E$23,3,0),),)</f>
        <v>1.4</v>
      </c>
      <c r="N31" s="382">
        <f>IFERROR(IF(B31="funkcna poziadavka",VLOOKUP(G31,MODULY_CBA!$B$3:$E$23,2,0),),)</f>
        <v>0.6</v>
      </c>
      <c r="O31" s="381">
        <f t="shared" si="3"/>
        <v>4.279459459459459</v>
      </c>
      <c r="P31" s="380">
        <f>IFERROR(O31*VLOOKUP(G31,MODULY_CBA!$B$3:$F$23,5,0),)</f>
        <v>85.589189189189185</v>
      </c>
      <c r="Q31" s="482" t="str">
        <f>IFERROR(VLOOKUP(G31,MODULY_CBA!$B$3:$I$23,6,0),"")</f>
        <v>Inkrement 1</v>
      </c>
      <c r="R31" s="387" t="s">
        <v>166</v>
      </c>
      <c r="S31" s="387" t="s">
        <v>1095</v>
      </c>
      <c r="T31" s="378"/>
      <c r="U31" s="378"/>
      <c r="V31" s="378"/>
      <c r="W31" s="378"/>
      <c r="X31" s="378"/>
      <c r="Y31" s="378"/>
      <c r="Z31" s="378"/>
      <c r="AA31" s="378"/>
      <c r="AB31" s="378"/>
      <c r="AC31" s="378"/>
      <c r="AD31" s="378"/>
      <c r="AE31" s="378"/>
      <c r="AF31" s="394"/>
      <c r="AG31" s="388"/>
    </row>
    <row r="32" spans="1:33" ht="25.5">
      <c r="A32" s="404" t="s">
        <v>904</v>
      </c>
      <c r="B32" s="404" t="s">
        <v>747</v>
      </c>
      <c r="C32" s="535" t="s">
        <v>898</v>
      </c>
      <c r="D32" s="537" t="s">
        <v>905</v>
      </c>
      <c r="E32" s="535" t="s">
        <v>906</v>
      </c>
      <c r="F32" s="392" t="s">
        <v>815</v>
      </c>
      <c r="G32" s="392" t="s">
        <v>797</v>
      </c>
      <c r="H32" s="382">
        <v>1</v>
      </c>
      <c r="I32" s="382">
        <v>5</v>
      </c>
      <c r="J32" s="382">
        <f t="shared" si="0"/>
        <v>1</v>
      </c>
      <c r="K32" s="382">
        <f t="shared" si="1"/>
        <v>5</v>
      </c>
      <c r="L32" s="646">
        <f>IFERROR(IF(B32="funkcna poziadavka",VLOOKUP(G32,MODULY_CBA!$B$3:$E$23,4,0)*H32/SUMIFS($H$3:$H$199,$G$3:$G$199,G32,$B$3:$B$199,B32),),)</f>
        <v>9.45945945945946E-2</v>
      </c>
      <c r="M32" s="382">
        <f>IFERROR(IF(B32="Funkcna poziadavka",VLOOKUP(G32,MODULY_CBA!$B$3:$E$23,3,0),),)</f>
        <v>1.4</v>
      </c>
      <c r="N32" s="382">
        <f>IFERROR(IF(B32="funkcna poziadavka",VLOOKUP(G32,MODULY_CBA!$B$3:$E$23,2,0),),)</f>
        <v>0.6</v>
      </c>
      <c r="O32" s="381">
        <f t="shared" si="3"/>
        <v>4.279459459459459</v>
      </c>
      <c r="P32" s="380">
        <f>IFERROR(O32*VLOOKUP(G32,MODULY_CBA!$B$3:$F$23,5,0),)</f>
        <v>85.589189189189185</v>
      </c>
      <c r="Q32" s="482" t="str">
        <f>IFERROR(VLOOKUP(G32,MODULY_CBA!$B$3:$I$23,6,0),"")</f>
        <v>Inkrement 1</v>
      </c>
      <c r="R32" s="387" t="s">
        <v>166</v>
      </c>
      <c r="S32" s="387" t="s">
        <v>1095</v>
      </c>
      <c r="T32" s="378"/>
      <c r="U32" s="378"/>
      <c r="V32" s="378"/>
      <c r="W32" s="378"/>
      <c r="X32" s="378"/>
      <c r="Y32" s="378"/>
      <c r="Z32" s="378"/>
      <c r="AA32" s="378"/>
      <c r="AB32" s="378"/>
      <c r="AC32" s="378"/>
      <c r="AD32" s="378"/>
      <c r="AE32" s="378"/>
      <c r="AF32" s="394"/>
      <c r="AG32" s="388"/>
    </row>
    <row r="33" spans="1:33" ht="25.5">
      <c r="A33" s="404" t="s">
        <v>907</v>
      </c>
      <c r="B33" s="404" t="s">
        <v>747</v>
      </c>
      <c r="C33" s="535" t="s">
        <v>898</v>
      </c>
      <c r="D33" s="537" t="s">
        <v>908</v>
      </c>
      <c r="E33" s="535" t="s">
        <v>909</v>
      </c>
      <c r="F33" s="392" t="s">
        <v>815</v>
      </c>
      <c r="G33" s="392" t="s">
        <v>797</v>
      </c>
      <c r="H33" s="382">
        <v>1</v>
      </c>
      <c r="I33" s="382">
        <v>5</v>
      </c>
      <c r="J33" s="382">
        <f t="shared" si="0"/>
        <v>1</v>
      </c>
      <c r="K33" s="382">
        <f t="shared" si="1"/>
        <v>5</v>
      </c>
      <c r="L33" s="646">
        <f>IFERROR(IF(B33="funkcna poziadavka",VLOOKUP(G33,MODULY_CBA!$B$3:$E$23,4,0)*H33/SUMIFS($H$3:$H$199,$G$3:$G$199,G33,$B$3:$B$199,B33),),)</f>
        <v>9.45945945945946E-2</v>
      </c>
      <c r="M33" s="382">
        <f>IFERROR(IF(B33="Funkcna poziadavka",VLOOKUP(G33,MODULY_CBA!$B$3:$E$23,3,0),),)</f>
        <v>1.4</v>
      </c>
      <c r="N33" s="382">
        <f>IFERROR(IF(B33="funkcna poziadavka",VLOOKUP(G33,MODULY_CBA!$B$3:$E$23,2,0),),)</f>
        <v>0.6</v>
      </c>
      <c r="O33" s="381">
        <f t="shared" si="3"/>
        <v>4.279459459459459</v>
      </c>
      <c r="P33" s="380">
        <f>IFERROR(O33*VLOOKUP(G33,MODULY_CBA!$B$3:$F$23,5,0),)</f>
        <v>85.589189189189185</v>
      </c>
      <c r="Q33" s="482" t="str">
        <f>IFERROR(VLOOKUP(G33,MODULY_CBA!$B$3:$I$23,6,0),"")</f>
        <v>Inkrement 1</v>
      </c>
      <c r="R33" s="387" t="s">
        <v>166</v>
      </c>
      <c r="S33" s="387" t="s">
        <v>1095</v>
      </c>
      <c r="T33" s="378"/>
      <c r="U33" s="378"/>
      <c r="V33" s="378"/>
      <c r="W33" s="378"/>
      <c r="X33" s="378"/>
      <c r="Y33" s="378"/>
      <c r="Z33" s="378"/>
      <c r="AA33" s="378"/>
      <c r="AB33" s="378"/>
      <c r="AC33" s="378"/>
      <c r="AD33" s="378"/>
      <c r="AE33" s="378"/>
      <c r="AF33" s="394"/>
      <c r="AG33" s="388"/>
    </row>
    <row r="34" spans="1:33" ht="25.5">
      <c r="A34" s="404" t="s">
        <v>910</v>
      </c>
      <c r="B34" s="404" t="s">
        <v>747</v>
      </c>
      <c r="C34" s="535" t="s">
        <v>898</v>
      </c>
      <c r="D34" s="537" t="s">
        <v>911</v>
      </c>
      <c r="E34" s="535" t="s">
        <v>912</v>
      </c>
      <c r="F34" s="392" t="s">
        <v>815</v>
      </c>
      <c r="G34" s="392" t="s">
        <v>797</v>
      </c>
      <c r="H34" s="382">
        <v>1</v>
      </c>
      <c r="I34" s="382">
        <v>5</v>
      </c>
      <c r="J34" s="382">
        <f t="shared" si="0"/>
        <v>1</v>
      </c>
      <c r="K34" s="382">
        <f t="shared" si="1"/>
        <v>5</v>
      </c>
      <c r="L34" s="646">
        <f>IFERROR(IF(B34="funkcna poziadavka",VLOOKUP(G34,MODULY_CBA!$B$3:$E$23,4,0)*H34/SUMIFS($H$3:$H$199,$G$3:$G$199,G34,$B$3:$B$199,B34),),)</f>
        <v>9.45945945945946E-2</v>
      </c>
      <c r="M34" s="382">
        <f>IFERROR(IF(B34="Funkcna poziadavka",VLOOKUP(G34,MODULY_CBA!$B$3:$E$23,3,0),),)</f>
        <v>1.4</v>
      </c>
      <c r="N34" s="382">
        <f>IFERROR(IF(B34="funkcna poziadavka",VLOOKUP(G34,MODULY_CBA!$B$3:$E$23,2,0),),)</f>
        <v>0.6</v>
      </c>
      <c r="O34" s="381">
        <f t="shared" si="3"/>
        <v>4.279459459459459</v>
      </c>
      <c r="P34" s="380">
        <f>IFERROR(O34*VLOOKUP(G34,MODULY_CBA!$B$3:$F$23,5,0),)</f>
        <v>85.589189189189185</v>
      </c>
      <c r="Q34" s="482" t="str">
        <f>IFERROR(VLOOKUP(G34,MODULY_CBA!$B$3:$I$23,6,0),"")</f>
        <v>Inkrement 1</v>
      </c>
      <c r="R34" s="387" t="s">
        <v>166</v>
      </c>
      <c r="S34" s="387" t="s">
        <v>1095</v>
      </c>
      <c r="T34" s="385"/>
      <c r="U34" s="385"/>
      <c r="V34" s="385"/>
      <c r="W34" s="385"/>
      <c r="X34" s="385"/>
      <c r="Y34" s="385"/>
      <c r="Z34" s="385"/>
      <c r="AA34" s="385"/>
      <c r="AB34" s="385"/>
      <c r="AC34" s="385"/>
      <c r="AD34" s="385"/>
      <c r="AE34" s="385"/>
    </row>
    <row r="35" spans="1:33" ht="25.5">
      <c r="A35" s="404" t="s">
        <v>913</v>
      </c>
      <c r="B35" s="404" t="s">
        <v>747</v>
      </c>
      <c r="C35" s="535" t="s">
        <v>898</v>
      </c>
      <c r="D35" s="537" t="s">
        <v>914</v>
      </c>
      <c r="E35" s="535" t="s">
        <v>915</v>
      </c>
      <c r="F35" s="392" t="s">
        <v>815</v>
      </c>
      <c r="G35" s="392" t="s">
        <v>797</v>
      </c>
      <c r="H35" s="382">
        <v>1</v>
      </c>
      <c r="I35" s="382">
        <v>5</v>
      </c>
      <c r="J35" s="382">
        <f t="shared" ref="J35:J66" si="4">IF(ISNUMBER(H35),H35,)</f>
        <v>1</v>
      </c>
      <c r="K35" s="382">
        <f t="shared" si="1"/>
        <v>5</v>
      </c>
      <c r="L35" s="646">
        <f>IFERROR(IF(B35="funkcna poziadavka",VLOOKUP(G35,MODULY_CBA!$B$3:$E$23,4,0)*H35/SUMIFS($H$3:$H$199,$G$3:$G$199,G35,$B$3:$B$199,B35),),)</f>
        <v>9.45945945945946E-2</v>
      </c>
      <c r="M35" s="382">
        <f>IFERROR(IF(B35="Funkcna poziadavka",VLOOKUP(G35,MODULY_CBA!$B$3:$E$23,3,0),),)</f>
        <v>1.4</v>
      </c>
      <c r="N35" s="382">
        <f>IFERROR(IF(B35="funkcna poziadavka",VLOOKUP(G35,MODULY_CBA!$B$3:$E$23,2,0),),)</f>
        <v>0.6</v>
      </c>
      <c r="O35" s="381">
        <f t="shared" ref="O35:O66" si="5">(K35+L35)*M35*N35</f>
        <v>4.279459459459459</v>
      </c>
      <c r="P35" s="380">
        <f>IFERROR(O35*VLOOKUP(G35,MODULY_CBA!$B$3:$F$23,5,0),)</f>
        <v>85.589189189189185</v>
      </c>
      <c r="Q35" s="482" t="str">
        <f>IFERROR(VLOOKUP(G35,MODULY_CBA!$B$3:$I$23,6,0),"")</f>
        <v>Inkrement 1</v>
      </c>
      <c r="R35" s="387" t="s">
        <v>166</v>
      </c>
      <c r="S35" s="387" t="s">
        <v>1095</v>
      </c>
      <c r="T35" s="385"/>
      <c r="U35" s="385"/>
      <c r="V35" s="385"/>
      <c r="W35" s="385"/>
      <c r="X35" s="385"/>
      <c r="Y35" s="385"/>
      <c r="Z35" s="385"/>
      <c r="AA35" s="385"/>
      <c r="AB35" s="385"/>
      <c r="AC35" s="385"/>
      <c r="AD35" s="385"/>
      <c r="AE35" s="385"/>
    </row>
    <row r="36" spans="1:33" ht="25.5">
      <c r="A36" s="404" t="s">
        <v>916</v>
      </c>
      <c r="B36" s="404" t="s">
        <v>747</v>
      </c>
      <c r="C36" s="535" t="s">
        <v>917</v>
      </c>
      <c r="D36" s="537" t="s">
        <v>918</v>
      </c>
      <c r="E36" s="535" t="s">
        <v>919</v>
      </c>
      <c r="F36" s="392" t="s">
        <v>815</v>
      </c>
      <c r="G36" s="392" t="s">
        <v>797</v>
      </c>
      <c r="H36" s="382">
        <v>1</v>
      </c>
      <c r="I36" s="382">
        <v>5</v>
      </c>
      <c r="J36" s="382">
        <f t="shared" si="4"/>
        <v>1</v>
      </c>
      <c r="K36" s="382">
        <f t="shared" si="1"/>
        <v>5</v>
      </c>
      <c r="L36" s="646">
        <f>IFERROR(IF(B36="funkcna poziadavka",VLOOKUP(G36,MODULY_CBA!$B$3:$E$23,4,0)*H36/SUMIFS($H$3:$H$199,$G$3:$G$199,G36,$B$3:$B$199,B36),),)</f>
        <v>9.45945945945946E-2</v>
      </c>
      <c r="M36" s="382">
        <f>IFERROR(IF(B36="Funkcna poziadavka",VLOOKUP(G36,MODULY_CBA!$B$3:$E$23,3,0),),)</f>
        <v>1.4</v>
      </c>
      <c r="N36" s="382">
        <f>IFERROR(IF(B36="funkcna poziadavka",VLOOKUP(G36,MODULY_CBA!$B$3:$E$23,2,0),),)</f>
        <v>0.6</v>
      </c>
      <c r="O36" s="381">
        <f t="shared" si="5"/>
        <v>4.279459459459459</v>
      </c>
      <c r="P36" s="380">
        <f>IFERROR(O36*VLOOKUP(G36,MODULY_CBA!$B$3:$F$23,5,0),)</f>
        <v>85.589189189189185</v>
      </c>
      <c r="Q36" s="482" t="str">
        <f>IFERROR(VLOOKUP(G36,MODULY_CBA!$B$3:$I$23,6,0),"")</f>
        <v>Inkrement 1</v>
      </c>
      <c r="R36" s="387" t="s">
        <v>166</v>
      </c>
      <c r="S36" s="387" t="s">
        <v>1095</v>
      </c>
      <c r="T36" s="385"/>
      <c r="U36" s="385"/>
      <c r="V36" s="385"/>
      <c r="W36" s="385"/>
      <c r="X36" s="385"/>
      <c r="Y36" s="385"/>
      <c r="Z36" s="385"/>
      <c r="AA36" s="385"/>
      <c r="AB36" s="385"/>
      <c r="AC36" s="385"/>
      <c r="AD36" s="385"/>
      <c r="AE36" s="385"/>
    </row>
    <row r="37" spans="1:33" ht="25.5">
      <c r="A37" s="404" t="s">
        <v>920</v>
      </c>
      <c r="B37" s="404" t="s">
        <v>747</v>
      </c>
      <c r="C37" s="535" t="s">
        <v>917</v>
      </c>
      <c r="D37" s="537" t="s">
        <v>921</v>
      </c>
      <c r="E37" s="535" t="s">
        <v>922</v>
      </c>
      <c r="F37" s="392" t="s">
        <v>815</v>
      </c>
      <c r="G37" s="392" t="s">
        <v>797</v>
      </c>
      <c r="H37" s="382">
        <v>1</v>
      </c>
      <c r="I37" s="382">
        <v>5</v>
      </c>
      <c r="J37" s="382">
        <f t="shared" si="4"/>
        <v>1</v>
      </c>
      <c r="K37" s="382">
        <f t="shared" si="1"/>
        <v>5</v>
      </c>
      <c r="L37" s="646">
        <f>IFERROR(IF(B37="funkcna poziadavka",VLOOKUP(G37,MODULY_CBA!$B$3:$E$23,4,0)*H37/SUMIFS($H$3:$H$199,$G$3:$G$199,G37,$B$3:$B$199,B37),),)</f>
        <v>9.45945945945946E-2</v>
      </c>
      <c r="M37" s="382">
        <f>IFERROR(IF(B37="Funkcna poziadavka",VLOOKUP(G37,MODULY_CBA!$B$3:$E$23,3,0),),)</f>
        <v>1.4</v>
      </c>
      <c r="N37" s="382">
        <f>IFERROR(IF(B37="funkcna poziadavka",VLOOKUP(G37,MODULY_CBA!$B$3:$E$23,2,0),),)</f>
        <v>0.6</v>
      </c>
      <c r="O37" s="381">
        <f t="shared" si="5"/>
        <v>4.279459459459459</v>
      </c>
      <c r="P37" s="380">
        <f>IFERROR(O37*VLOOKUP(G37,MODULY_CBA!$B$3:$F$23,5,0),)</f>
        <v>85.589189189189185</v>
      </c>
      <c r="Q37" s="482" t="str">
        <f>IFERROR(VLOOKUP(G37,MODULY_CBA!$B$3:$I$23,6,0),"")</f>
        <v>Inkrement 1</v>
      </c>
      <c r="R37" s="387" t="s">
        <v>166</v>
      </c>
      <c r="S37" s="387" t="s">
        <v>1095</v>
      </c>
      <c r="T37" s="385"/>
      <c r="U37" s="385"/>
      <c r="V37" s="385"/>
      <c r="W37" s="385"/>
      <c r="X37" s="385"/>
      <c r="Y37" s="385"/>
      <c r="Z37" s="385"/>
      <c r="AA37" s="385"/>
      <c r="AB37" s="385"/>
      <c r="AC37" s="385"/>
      <c r="AD37" s="385"/>
      <c r="AE37" s="385"/>
    </row>
    <row r="38" spans="1:33">
      <c r="A38" s="404" t="s">
        <v>923</v>
      </c>
      <c r="B38" s="404" t="s">
        <v>747</v>
      </c>
      <c r="C38" s="535" t="s">
        <v>924</v>
      </c>
      <c r="D38" s="537" t="s">
        <v>925</v>
      </c>
      <c r="E38" s="535" t="s">
        <v>926</v>
      </c>
      <c r="F38" s="392" t="s">
        <v>815</v>
      </c>
      <c r="G38" s="392" t="s">
        <v>797</v>
      </c>
      <c r="H38" s="382">
        <v>1</v>
      </c>
      <c r="I38" s="382">
        <v>5</v>
      </c>
      <c r="J38" s="382">
        <f t="shared" si="4"/>
        <v>1</v>
      </c>
      <c r="K38" s="382">
        <f t="shared" si="1"/>
        <v>5</v>
      </c>
      <c r="L38" s="646">
        <f>IFERROR(IF(B38="funkcna poziadavka",VLOOKUP(G38,MODULY_CBA!$B$3:$E$23,4,0)*H38/SUMIFS($H$3:$H$199,$G$3:$G$199,G38,$B$3:$B$199,B38),),)</f>
        <v>9.45945945945946E-2</v>
      </c>
      <c r="M38" s="382">
        <f>IFERROR(IF(B38="Funkcna poziadavka",VLOOKUP(G38,MODULY_CBA!$B$3:$E$23,3,0),),)</f>
        <v>1.4</v>
      </c>
      <c r="N38" s="382">
        <f>IFERROR(IF(B38="funkcna poziadavka",VLOOKUP(G38,MODULY_CBA!$B$3:$E$23,2,0),),)</f>
        <v>0.6</v>
      </c>
      <c r="O38" s="381">
        <f t="shared" si="5"/>
        <v>4.279459459459459</v>
      </c>
      <c r="P38" s="380">
        <f>IFERROR(O38*VLOOKUP(G38,MODULY_CBA!$B$3:$F$23,5,0),)</f>
        <v>85.589189189189185</v>
      </c>
      <c r="Q38" s="482" t="str">
        <f>IFERROR(VLOOKUP(G38,MODULY_CBA!$B$3:$I$23,6,0),"")</f>
        <v>Inkrement 1</v>
      </c>
      <c r="R38" s="387" t="s">
        <v>166</v>
      </c>
      <c r="S38" s="387" t="s">
        <v>1095</v>
      </c>
      <c r="T38" s="385"/>
      <c r="U38" s="385"/>
      <c r="V38" s="385"/>
      <c r="W38" s="385"/>
      <c r="X38" s="385"/>
      <c r="Y38" s="385"/>
      <c r="Z38" s="385"/>
      <c r="AA38" s="385"/>
      <c r="AB38" s="385"/>
      <c r="AC38" s="385"/>
      <c r="AD38" s="385"/>
      <c r="AE38" s="385"/>
    </row>
    <row r="39" spans="1:33">
      <c r="A39" s="404" t="s">
        <v>927</v>
      </c>
      <c r="B39" s="404" t="s">
        <v>747</v>
      </c>
      <c r="C39" s="535" t="s">
        <v>924</v>
      </c>
      <c r="D39" s="537" t="s">
        <v>928</v>
      </c>
      <c r="E39" s="535" t="s">
        <v>929</v>
      </c>
      <c r="F39" s="392" t="s">
        <v>815</v>
      </c>
      <c r="G39" s="392" t="s">
        <v>797</v>
      </c>
      <c r="H39" s="382">
        <v>1</v>
      </c>
      <c r="I39" s="382">
        <v>5</v>
      </c>
      <c r="J39" s="382">
        <f t="shared" si="4"/>
        <v>1</v>
      </c>
      <c r="K39" s="382">
        <f t="shared" si="1"/>
        <v>5</v>
      </c>
      <c r="L39" s="646">
        <f>IFERROR(IF(B39="funkcna poziadavka",VLOOKUP(G39,MODULY_CBA!$B$3:$E$23,4,0)*H39/SUMIFS($H$3:$H$199,$G$3:$G$199,G39,$B$3:$B$199,B39),),)</f>
        <v>9.45945945945946E-2</v>
      </c>
      <c r="M39" s="382">
        <f>IFERROR(IF(B39="Funkcna poziadavka",VLOOKUP(G39,MODULY_CBA!$B$3:$E$23,3,0),),)</f>
        <v>1.4</v>
      </c>
      <c r="N39" s="382">
        <f>IFERROR(IF(B39="funkcna poziadavka",VLOOKUP(G39,MODULY_CBA!$B$3:$E$23,2,0),),)</f>
        <v>0.6</v>
      </c>
      <c r="O39" s="381">
        <f t="shared" si="5"/>
        <v>4.279459459459459</v>
      </c>
      <c r="P39" s="380">
        <f>IFERROR(O39*VLOOKUP(G39,MODULY_CBA!$B$3:$F$23,5,0),)</f>
        <v>85.589189189189185</v>
      </c>
      <c r="Q39" s="482" t="str">
        <f>IFERROR(VLOOKUP(G39,MODULY_CBA!$B$3:$I$23,6,0),"")</f>
        <v>Inkrement 1</v>
      </c>
      <c r="R39" s="387" t="s">
        <v>166</v>
      </c>
      <c r="S39" s="387" t="s">
        <v>1095</v>
      </c>
      <c r="T39" s="385"/>
      <c r="U39" s="385"/>
      <c r="V39" s="385"/>
      <c r="W39" s="385"/>
      <c r="X39" s="385"/>
      <c r="Y39" s="385"/>
      <c r="Z39" s="385"/>
      <c r="AA39" s="385"/>
      <c r="AB39" s="385"/>
      <c r="AC39" s="385"/>
      <c r="AD39" s="385"/>
      <c r="AE39" s="385"/>
    </row>
    <row r="40" spans="1:33" ht="38.25">
      <c r="A40" s="404" t="s">
        <v>930</v>
      </c>
      <c r="B40" s="404" t="s">
        <v>747</v>
      </c>
      <c r="C40" s="535" t="s">
        <v>931</v>
      </c>
      <c r="D40" s="537" t="s">
        <v>932</v>
      </c>
      <c r="E40" s="535" t="s">
        <v>933</v>
      </c>
      <c r="F40" s="392" t="s">
        <v>815</v>
      </c>
      <c r="G40" s="392" t="s">
        <v>797</v>
      </c>
      <c r="H40" s="382">
        <v>1</v>
      </c>
      <c r="I40" s="382">
        <v>5</v>
      </c>
      <c r="J40" s="382">
        <f t="shared" si="4"/>
        <v>1</v>
      </c>
      <c r="K40" s="382">
        <f t="shared" si="1"/>
        <v>5</v>
      </c>
      <c r="L40" s="646">
        <f>IFERROR(IF(B40="funkcna poziadavka",VLOOKUP(G40,MODULY_CBA!$B$3:$E$23,4,0)*H40/SUMIFS($H$3:$H$199,$G$3:$G$199,G40,$B$3:$B$199,B40),),)</f>
        <v>9.45945945945946E-2</v>
      </c>
      <c r="M40" s="382">
        <f>IFERROR(IF(B40="Funkcna poziadavka",VLOOKUP(G40,MODULY_CBA!$B$3:$E$23,3,0),),)</f>
        <v>1.4</v>
      </c>
      <c r="N40" s="382">
        <f>IFERROR(IF(B40="funkcna poziadavka",VLOOKUP(G40,MODULY_CBA!$B$3:$E$23,2,0),),)</f>
        <v>0.6</v>
      </c>
      <c r="O40" s="381">
        <f t="shared" si="5"/>
        <v>4.279459459459459</v>
      </c>
      <c r="P40" s="380">
        <f>IFERROR(O40*VLOOKUP(G40,MODULY_CBA!$B$3:$F$23,5,0),)</f>
        <v>85.589189189189185</v>
      </c>
      <c r="Q40" s="482" t="str">
        <f>IFERROR(VLOOKUP(G40,MODULY_CBA!$B$3:$I$23,6,0),"")</f>
        <v>Inkrement 1</v>
      </c>
      <c r="R40" s="387" t="s">
        <v>166</v>
      </c>
      <c r="S40" s="387" t="s">
        <v>1095</v>
      </c>
      <c r="T40" s="385"/>
      <c r="U40" s="385"/>
      <c r="V40" s="385"/>
      <c r="W40" s="385"/>
      <c r="X40" s="385"/>
      <c r="Y40" s="385"/>
      <c r="Z40" s="385"/>
      <c r="AA40" s="385"/>
      <c r="AB40" s="385"/>
      <c r="AC40" s="385"/>
      <c r="AD40" s="385"/>
      <c r="AE40" s="385"/>
    </row>
    <row r="41" spans="1:33" ht="38.25">
      <c r="A41" s="404" t="s">
        <v>934</v>
      </c>
      <c r="B41" s="404" t="s">
        <v>747</v>
      </c>
      <c r="C41" s="535" t="s">
        <v>931</v>
      </c>
      <c r="D41" s="537" t="s">
        <v>935</v>
      </c>
      <c r="E41" s="535" t="s">
        <v>936</v>
      </c>
      <c r="F41" s="392" t="s">
        <v>815</v>
      </c>
      <c r="G41" s="392" t="s">
        <v>797</v>
      </c>
      <c r="H41" s="382">
        <v>1</v>
      </c>
      <c r="I41" s="382">
        <v>5</v>
      </c>
      <c r="J41" s="382">
        <f t="shared" si="4"/>
        <v>1</v>
      </c>
      <c r="K41" s="382">
        <f t="shared" si="1"/>
        <v>5</v>
      </c>
      <c r="L41" s="646">
        <f>IFERROR(IF(B41="funkcna poziadavka",VLOOKUP(G41,MODULY_CBA!$B$3:$E$23,4,0)*H41/SUMIFS($H$3:$H$199,$G$3:$G$199,G41,$B$3:$B$199,B41),),)</f>
        <v>9.45945945945946E-2</v>
      </c>
      <c r="M41" s="382">
        <f>IFERROR(IF(B41="Funkcna poziadavka",VLOOKUP(G41,MODULY_CBA!$B$3:$E$23,3,0),),)</f>
        <v>1.4</v>
      </c>
      <c r="N41" s="382">
        <f>IFERROR(IF(B41="funkcna poziadavka",VLOOKUP(G41,MODULY_CBA!$B$3:$E$23,2,0),),)</f>
        <v>0.6</v>
      </c>
      <c r="O41" s="381">
        <f t="shared" si="5"/>
        <v>4.279459459459459</v>
      </c>
      <c r="P41" s="380">
        <f>IFERROR(O41*VLOOKUP(G41,MODULY_CBA!$B$3:$F$23,5,0),)</f>
        <v>85.589189189189185</v>
      </c>
      <c r="Q41" s="482" t="str">
        <f>IFERROR(VLOOKUP(G41,MODULY_CBA!$B$3:$I$23,6,0),"")</f>
        <v>Inkrement 1</v>
      </c>
      <c r="R41" s="387" t="s">
        <v>166</v>
      </c>
      <c r="S41" s="387" t="s">
        <v>1095</v>
      </c>
      <c r="T41" s="385"/>
      <c r="U41" s="385"/>
      <c r="V41" s="385"/>
      <c r="W41" s="385"/>
      <c r="X41" s="385"/>
      <c r="Y41" s="385"/>
      <c r="Z41" s="385"/>
      <c r="AA41" s="385"/>
      <c r="AB41" s="385"/>
      <c r="AC41" s="385"/>
      <c r="AD41" s="385"/>
      <c r="AE41" s="385"/>
    </row>
    <row r="42" spans="1:33" ht="38.25">
      <c r="A42" s="404" t="s">
        <v>937</v>
      </c>
      <c r="B42" s="404" t="s">
        <v>747</v>
      </c>
      <c r="C42" s="535" t="s">
        <v>931</v>
      </c>
      <c r="D42" s="537" t="s">
        <v>938</v>
      </c>
      <c r="E42" s="535" t="s">
        <v>939</v>
      </c>
      <c r="F42" s="392" t="s">
        <v>815</v>
      </c>
      <c r="G42" s="392" t="s">
        <v>797</v>
      </c>
      <c r="H42" s="382">
        <v>1</v>
      </c>
      <c r="I42" s="382">
        <v>5</v>
      </c>
      <c r="J42" s="382">
        <f t="shared" si="4"/>
        <v>1</v>
      </c>
      <c r="K42" s="382">
        <f t="shared" si="1"/>
        <v>5</v>
      </c>
      <c r="L42" s="646">
        <f>IFERROR(IF(B42="funkcna poziadavka",VLOOKUP(G42,MODULY_CBA!$B$3:$E$23,4,0)*H42/SUMIFS($H$3:$H$199,$G$3:$G$199,G42,$B$3:$B$199,B42),),)</f>
        <v>9.45945945945946E-2</v>
      </c>
      <c r="M42" s="382">
        <f>IFERROR(IF(B42="Funkcna poziadavka",VLOOKUP(G42,MODULY_CBA!$B$3:$E$23,3,0),),)</f>
        <v>1.4</v>
      </c>
      <c r="N42" s="382">
        <f>IFERROR(IF(B42="funkcna poziadavka",VLOOKUP(G42,MODULY_CBA!$B$3:$E$23,2,0),),)</f>
        <v>0.6</v>
      </c>
      <c r="O42" s="381">
        <f t="shared" si="5"/>
        <v>4.279459459459459</v>
      </c>
      <c r="P42" s="380">
        <f>IFERROR(O42*VLOOKUP(G42,MODULY_CBA!$B$3:$F$23,5,0),)</f>
        <v>85.589189189189185</v>
      </c>
      <c r="Q42" s="482" t="str">
        <f>IFERROR(VLOOKUP(G42,MODULY_CBA!$B$3:$I$23,6,0),"")</f>
        <v>Inkrement 1</v>
      </c>
      <c r="R42" s="387" t="s">
        <v>166</v>
      </c>
      <c r="S42" s="387" t="s">
        <v>1095</v>
      </c>
      <c r="T42" s="385"/>
      <c r="U42" s="385"/>
      <c r="V42" s="385"/>
      <c r="W42" s="385"/>
      <c r="X42" s="385"/>
      <c r="Y42" s="385"/>
      <c r="Z42" s="385"/>
      <c r="AA42" s="385"/>
      <c r="AB42" s="385"/>
      <c r="AC42" s="385"/>
      <c r="AD42" s="385"/>
      <c r="AE42" s="385"/>
    </row>
    <row r="43" spans="1:33" ht="38.25">
      <c r="A43" s="404" t="s">
        <v>940</v>
      </c>
      <c r="B43" s="404" t="s">
        <v>747</v>
      </c>
      <c r="C43" s="535" t="s">
        <v>931</v>
      </c>
      <c r="D43" s="537" t="s">
        <v>941</v>
      </c>
      <c r="E43" s="535" t="s">
        <v>942</v>
      </c>
      <c r="F43" s="392" t="s">
        <v>815</v>
      </c>
      <c r="G43" s="392" t="s">
        <v>797</v>
      </c>
      <c r="H43" s="382">
        <v>1</v>
      </c>
      <c r="I43" s="382">
        <v>5</v>
      </c>
      <c r="J43" s="382">
        <f t="shared" si="4"/>
        <v>1</v>
      </c>
      <c r="K43" s="382">
        <f t="shared" si="1"/>
        <v>5</v>
      </c>
      <c r="L43" s="646">
        <f>IFERROR(IF(B43="funkcna poziadavka",VLOOKUP(G43,MODULY_CBA!$B$3:$E$23,4,0)*H43/SUMIFS($H$3:$H$199,$G$3:$G$199,G43,$B$3:$B$199,B43),),)</f>
        <v>9.45945945945946E-2</v>
      </c>
      <c r="M43" s="382">
        <f>IFERROR(IF(B43="Funkcna poziadavka",VLOOKUP(G43,MODULY_CBA!$B$3:$E$23,3,0),),)</f>
        <v>1.4</v>
      </c>
      <c r="N43" s="382">
        <f>IFERROR(IF(B43="funkcna poziadavka",VLOOKUP(G43,MODULY_CBA!$B$3:$E$23,2,0),),)</f>
        <v>0.6</v>
      </c>
      <c r="O43" s="381">
        <f t="shared" si="5"/>
        <v>4.279459459459459</v>
      </c>
      <c r="P43" s="380">
        <f>IFERROR(O43*VLOOKUP(G43,MODULY_CBA!$B$3:$F$23,5,0),)</f>
        <v>85.589189189189185</v>
      </c>
      <c r="Q43" s="482" t="str">
        <f>IFERROR(VLOOKUP(G43,MODULY_CBA!$B$3:$I$23,6,0),"")</f>
        <v>Inkrement 1</v>
      </c>
      <c r="R43" s="387" t="s">
        <v>166</v>
      </c>
      <c r="S43" s="387" t="s">
        <v>1095</v>
      </c>
      <c r="T43" s="385"/>
      <c r="U43" s="385"/>
      <c r="V43" s="385"/>
      <c r="W43" s="385"/>
      <c r="X43" s="385"/>
      <c r="Y43" s="385"/>
      <c r="Z43" s="385"/>
      <c r="AA43" s="385"/>
      <c r="AB43" s="385"/>
      <c r="AC43" s="385"/>
      <c r="AD43" s="385"/>
      <c r="AE43" s="385"/>
    </row>
    <row r="44" spans="1:33" ht="38.25">
      <c r="A44" s="404" t="s">
        <v>943</v>
      </c>
      <c r="B44" s="404" t="s">
        <v>747</v>
      </c>
      <c r="C44" s="535" t="s">
        <v>931</v>
      </c>
      <c r="D44" s="537" t="s">
        <v>944</v>
      </c>
      <c r="E44" s="535" t="s">
        <v>945</v>
      </c>
      <c r="F44" s="392" t="s">
        <v>815</v>
      </c>
      <c r="G44" s="392" t="s">
        <v>797</v>
      </c>
      <c r="H44" s="382">
        <v>1</v>
      </c>
      <c r="I44" s="382">
        <v>5</v>
      </c>
      <c r="J44" s="382">
        <f t="shared" si="4"/>
        <v>1</v>
      </c>
      <c r="K44" s="382">
        <f t="shared" si="1"/>
        <v>5</v>
      </c>
      <c r="L44" s="646">
        <f>IFERROR(IF(B44="funkcna poziadavka",VLOOKUP(G44,MODULY_CBA!$B$3:$E$23,4,0)*H44/SUMIFS($H$3:$H$199,$G$3:$G$199,G44,$B$3:$B$199,B44),),)</f>
        <v>9.45945945945946E-2</v>
      </c>
      <c r="M44" s="382">
        <f>IFERROR(IF(B44="Funkcna poziadavka",VLOOKUP(G44,MODULY_CBA!$B$3:$E$23,3,0),),)</f>
        <v>1.4</v>
      </c>
      <c r="N44" s="382">
        <f>IFERROR(IF(B44="funkcna poziadavka",VLOOKUP(G44,MODULY_CBA!$B$3:$E$23,2,0),),)</f>
        <v>0.6</v>
      </c>
      <c r="O44" s="381">
        <f t="shared" si="5"/>
        <v>4.279459459459459</v>
      </c>
      <c r="P44" s="380">
        <f>IFERROR(O44*VLOOKUP(G44,MODULY_CBA!$B$3:$F$23,5,0),)</f>
        <v>85.589189189189185</v>
      </c>
      <c r="Q44" s="482" t="str">
        <f>IFERROR(VLOOKUP(G44,MODULY_CBA!$B$3:$I$23,6,0),"")</f>
        <v>Inkrement 1</v>
      </c>
      <c r="R44" s="387" t="s">
        <v>166</v>
      </c>
      <c r="S44" s="387" t="s">
        <v>1095</v>
      </c>
      <c r="T44" s="385" t="s">
        <v>168</v>
      </c>
      <c r="U44" s="385" t="s">
        <v>168</v>
      </c>
      <c r="V44" s="385" t="s">
        <v>168</v>
      </c>
      <c r="W44" s="385" t="s">
        <v>168</v>
      </c>
      <c r="X44" s="385" t="s">
        <v>168</v>
      </c>
      <c r="Y44" s="385" t="s">
        <v>168</v>
      </c>
      <c r="Z44" s="385" t="s">
        <v>168</v>
      </c>
      <c r="AA44" s="385" t="s">
        <v>168</v>
      </c>
      <c r="AB44" s="385" t="s">
        <v>168</v>
      </c>
      <c r="AC44" s="385" t="s">
        <v>168</v>
      </c>
      <c r="AD44" s="385" t="s">
        <v>168</v>
      </c>
      <c r="AE44" s="385" t="s">
        <v>168</v>
      </c>
    </row>
    <row r="45" spans="1:33">
      <c r="A45" s="404" t="s">
        <v>946</v>
      </c>
      <c r="B45" s="404" t="s">
        <v>747</v>
      </c>
      <c r="C45" s="535" t="s">
        <v>947</v>
      </c>
      <c r="D45" s="537" t="s">
        <v>948</v>
      </c>
      <c r="E45" s="535" t="s">
        <v>949</v>
      </c>
      <c r="F45" s="392" t="s">
        <v>815</v>
      </c>
      <c r="G45" s="392" t="s">
        <v>797</v>
      </c>
      <c r="H45" s="382">
        <v>1</v>
      </c>
      <c r="I45" s="382">
        <v>5</v>
      </c>
      <c r="J45" s="382">
        <f t="shared" si="4"/>
        <v>1</v>
      </c>
      <c r="K45" s="382">
        <f t="shared" si="1"/>
        <v>5</v>
      </c>
      <c r="L45" s="646">
        <f>IFERROR(IF(B45="funkcna poziadavka",VLOOKUP(G45,MODULY_CBA!$B$3:$E$23,4,0)*H45/SUMIFS($H$3:$H$199,$G$3:$G$199,G45,$B$3:$B$199,B45),),)</f>
        <v>9.45945945945946E-2</v>
      </c>
      <c r="M45" s="382">
        <f>IFERROR(IF(B45="Funkcna poziadavka",VLOOKUP(G45,MODULY_CBA!$B$3:$E$23,3,0),),)</f>
        <v>1.4</v>
      </c>
      <c r="N45" s="382">
        <f>IFERROR(IF(B45="funkcna poziadavka",VLOOKUP(G45,MODULY_CBA!$B$3:$E$23,2,0),),)</f>
        <v>0.6</v>
      </c>
      <c r="O45" s="381">
        <f t="shared" si="5"/>
        <v>4.279459459459459</v>
      </c>
      <c r="P45" s="380">
        <f>IFERROR(O45*VLOOKUP(G45,MODULY_CBA!$B$3:$F$23,5,0),)</f>
        <v>85.589189189189185</v>
      </c>
      <c r="Q45" s="482" t="str">
        <f>IFERROR(VLOOKUP(G45,MODULY_CBA!$B$3:$I$23,6,0),"")</f>
        <v>Inkrement 1</v>
      </c>
      <c r="R45" s="387" t="s">
        <v>166</v>
      </c>
      <c r="S45" s="387" t="s">
        <v>1095</v>
      </c>
      <c r="T45" s="385"/>
      <c r="U45" s="385"/>
      <c r="V45" s="385"/>
      <c r="W45" s="385"/>
      <c r="X45" s="385"/>
      <c r="Y45" s="385"/>
      <c r="Z45" s="385"/>
      <c r="AA45" s="385"/>
      <c r="AB45" s="385"/>
      <c r="AC45" s="385"/>
      <c r="AD45" s="385"/>
      <c r="AE45" s="385"/>
    </row>
    <row r="46" spans="1:33" ht="25.5">
      <c r="A46" s="404" t="s">
        <v>950</v>
      </c>
      <c r="B46" s="404" t="s">
        <v>747</v>
      </c>
      <c r="C46" s="535" t="s">
        <v>951</v>
      </c>
      <c r="D46" s="537" t="s">
        <v>952</v>
      </c>
      <c r="E46" s="535" t="s">
        <v>953</v>
      </c>
      <c r="F46" s="392" t="s">
        <v>815</v>
      </c>
      <c r="G46" s="392" t="s">
        <v>797</v>
      </c>
      <c r="H46" s="382">
        <v>1</v>
      </c>
      <c r="I46" s="382">
        <v>5</v>
      </c>
      <c r="J46" s="382">
        <f t="shared" si="4"/>
        <v>1</v>
      </c>
      <c r="K46" s="382">
        <f t="shared" si="1"/>
        <v>5</v>
      </c>
      <c r="L46" s="646">
        <f>IFERROR(IF(B46="funkcna poziadavka",VLOOKUP(G46,MODULY_CBA!$B$3:$E$23,4,0)*H46/SUMIFS($H$3:$H$199,$G$3:$G$199,G46,$B$3:$B$199,B46),),)</f>
        <v>9.45945945945946E-2</v>
      </c>
      <c r="M46" s="382">
        <f>IFERROR(IF(B46="Funkcna poziadavka",VLOOKUP(G46,MODULY_CBA!$B$3:$E$23,3,0),),)</f>
        <v>1.4</v>
      </c>
      <c r="N46" s="382">
        <f>IFERROR(IF(B46="funkcna poziadavka",VLOOKUP(G46,MODULY_CBA!$B$3:$E$23,2,0),),)</f>
        <v>0.6</v>
      </c>
      <c r="O46" s="381">
        <f t="shared" si="5"/>
        <v>4.279459459459459</v>
      </c>
      <c r="P46" s="380">
        <f>IFERROR(O46*VLOOKUP(G46,MODULY_CBA!$B$3:$F$23,5,0),)</f>
        <v>85.589189189189185</v>
      </c>
      <c r="Q46" s="482" t="str">
        <f>IFERROR(VLOOKUP(G46,MODULY_CBA!$B$3:$I$23,6,0),"")</f>
        <v>Inkrement 1</v>
      </c>
      <c r="R46" s="387" t="s">
        <v>166</v>
      </c>
      <c r="S46" s="387" t="s">
        <v>1095</v>
      </c>
      <c r="T46" s="385" t="s">
        <v>168</v>
      </c>
      <c r="U46" s="385" t="s">
        <v>168</v>
      </c>
      <c r="V46" s="385" t="s">
        <v>168</v>
      </c>
      <c r="W46" s="385" t="s">
        <v>168</v>
      </c>
      <c r="X46" s="385" t="s">
        <v>168</v>
      </c>
      <c r="Y46" s="385" t="s">
        <v>168</v>
      </c>
      <c r="Z46" s="385" t="s">
        <v>168</v>
      </c>
      <c r="AA46" s="385" t="s">
        <v>168</v>
      </c>
      <c r="AB46" s="385" t="s">
        <v>168</v>
      </c>
      <c r="AC46" s="385" t="s">
        <v>168</v>
      </c>
      <c r="AD46" s="385" t="s">
        <v>168</v>
      </c>
      <c r="AE46" s="385" t="s">
        <v>168</v>
      </c>
    </row>
    <row r="47" spans="1:33" ht="25.5">
      <c r="A47" s="404" t="s">
        <v>954</v>
      </c>
      <c r="B47" s="404" t="s">
        <v>747</v>
      </c>
      <c r="C47" s="535" t="s">
        <v>951</v>
      </c>
      <c r="D47" s="537" t="s">
        <v>955</v>
      </c>
      <c r="E47" s="535" t="s">
        <v>956</v>
      </c>
      <c r="F47" s="392" t="s">
        <v>815</v>
      </c>
      <c r="G47" s="392" t="s">
        <v>797</v>
      </c>
      <c r="H47" s="382">
        <v>1</v>
      </c>
      <c r="I47" s="382">
        <v>5</v>
      </c>
      <c r="J47" s="382">
        <f t="shared" si="4"/>
        <v>1</v>
      </c>
      <c r="K47" s="382">
        <f t="shared" si="1"/>
        <v>5</v>
      </c>
      <c r="L47" s="646">
        <f>IFERROR(IF(B47="funkcna poziadavka",VLOOKUP(G47,MODULY_CBA!$B$3:$E$23,4,0)*H47/SUMIFS($H$3:$H$199,$G$3:$G$199,G47,$B$3:$B$199,B47),),)</f>
        <v>9.45945945945946E-2</v>
      </c>
      <c r="M47" s="382">
        <f>IFERROR(IF(B47="Funkcna poziadavka",VLOOKUP(G47,MODULY_CBA!$B$3:$E$23,3,0),),)</f>
        <v>1.4</v>
      </c>
      <c r="N47" s="382">
        <f>IFERROR(IF(B47="funkcna poziadavka",VLOOKUP(G47,MODULY_CBA!$B$3:$E$23,2,0),),)</f>
        <v>0.6</v>
      </c>
      <c r="O47" s="381">
        <f t="shared" si="5"/>
        <v>4.279459459459459</v>
      </c>
      <c r="P47" s="380">
        <f>IFERROR(O47*VLOOKUP(G47,MODULY_CBA!$B$3:$F$23,5,0),)</f>
        <v>85.589189189189185</v>
      </c>
      <c r="Q47" s="482" t="str">
        <f>IFERROR(VLOOKUP(G47,MODULY_CBA!$B$3:$I$23,6,0),"")</f>
        <v>Inkrement 1</v>
      </c>
      <c r="R47" s="387" t="s">
        <v>166</v>
      </c>
      <c r="S47" s="387" t="s">
        <v>1095</v>
      </c>
      <c r="T47" s="385"/>
      <c r="U47" s="385"/>
      <c r="V47" s="385"/>
      <c r="W47" s="385"/>
      <c r="X47" s="385"/>
      <c r="Y47" s="385"/>
      <c r="Z47" s="385"/>
      <c r="AA47" s="385"/>
      <c r="AB47" s="385"/>
      <c r="AC47" s="385"/>
      <c r="AD47" s="385"/>
      <c r="AE47" s="385"/>
    </row>
    <row r="48" spans="1:33">
      <c r="A48" s="404" t="s">
        <v>957</v>
      </c>
      <c r="B48" s="404" t="s">
        <v>747</v>
      </c>
      <c r="C48" s="535" t="s">
        <v>958</v>
      </c>
      <c r="D48" s="537" t="s">
        <v>959</v>
      </c>
      <c r="E48" s="535" t="s">
        <v>960</v>
      </c>
      <c r="F48" s="392" t="s">
        <v>815</v>
      </c>
      <c r="G48" s="392" t="s">
        <v>797</v>
      </c>
      <c r="H48" s="382">
        <v>1</v>
      </c>
      <c r="I48" s="382">
        <v>5</v>
      </c>
      <c r="J48" s="382">
        <f t="shared" si="4"/>
        <v>1</v>
      </c>
      <c r="K48" s="382">
        <f t="shared" si="1"/>
        <v>5</v>
      </c>
      <c r="L48" s="646">
        <f>IFERROR(IF(B48="funkcna poziadavka",VLOOKUP(G48,MODULY_CBA!$B$3:$E$23,4,0)*H48/SUMIFS($H$3:$H$199,$G$3:$G$199,G48,$B$3:$B$199,B48),),)</f>
        <v>9.45945945945946E-2</v>
      </c>
      <c r="M48" s="382">
        <f>IFERROR(IF(B48="Funkcna poziadavka",VLOOKUP(G48,MODULY_CBA!$B$3:$E$23,3,0),),)</f>
        <v>1.4</v>
      </c>
      <c r="N48" s="382">
        <f>IFERROR(IF(B48="funkcna poziadavka",VLOOKUP(G48,MODULY_CBA!$B$3:$E$23,2,0),),)</f>
        <v>0.6</v>
      </c>
      <c r="O48" s="381">
        <f t="shared" si="5"/>
        <v>4.279459459459459</v>
      </c>
      <c r="P48" s="380">
        <f>IFERROR(O48*VLOOKUP(G48,MODULY_CBA!$B$3:$F$23,5,0),)</f>
        <v>85.589189189189185</v>
      </c>
      <c r="Q48" s="482" t="str">
        <f>IFERROR(VLOOKUP(G48,MODULY_CBA!$B$3:$I$23,6,0),"")</f>
        <v>Inkrement 1</v>
      </c>
      <c r="R48" s="387" t="s">
        <v>166</v>
      </c>
      <c r="S48" s="387" t="s">
        <v>1095</v>
      </c>
      <c r="T48" s="385"/>
      <c r="U48" s="385"/>
      <c r="V48" s="385"/>
      <c r="W48" s="385"/>
      <c r="X48" s="385"/>
      <c r="Y48" s="385"/>
      <c r="Z48" s="385"/>
      <c r="AA48" s="385"/>
      <c r="AB48" s="385"/>
      <c r="AC48" s="385"/>
      <c r="AD48" s="385"/>
      <c r="AE48" s="385"/>
    </row>
    <row r="49" spans="1:31" ht="25.5">
      <c r="A49" s="404" t="s">
        <v>961</v>
      </c>
      <c r="B49" s="404" t="s">
        <v>747</v>
      </c>
      <c r="C49" s="535" t="s">
        <v>962</v>
      </c>
      <c r="D49" s="537" t="s">
        <v>963</v>
      </c>
      <c r="E49" s="535" t="s">
        <v>964</v>
      </c>
      <c r="F49" s="392" t="s">
        <v>815</v>
      </c>
      <c r="G49" s="392" t="s">
        <v>797</v>
      </c>
      <c r="H49" s="382">
        <v>1</v>
      </c>
      <c r="I49" s="382">
        <v>5</v>
      </c>
      <c r="J49" s="382">
        <f t="shared" si="4"/>
        <v>1</v>
      </c>
      <c r="K49" s="382">
        <f t="shared" si="1"/>
        <v>5</v>
      </c>
      <c r="L49" s="646">
        <f>IFERROR(IF(B49="funkcna poziadavka",VLOOKUP(G49,MODULY_CBA!$B$3:$E$23,4,0)*H49/SUMIFS($H$3:$H$199,$G$3:$G$199,G49,$B$3:$B$199,B49),),)</f>
        <v>9.45945945945946E-2</v>
      </c>
      <c r="M49" s="382">
        <f>IFERROR(IF(B49="Funkcna poziadavka",VLOOKUP(G49,MODULY_CBA!$B$3:$E$23,3,0),),)</f>
        <v>1.4</v>
      </c>
      <c r="N49" s="382">
        <f>IFERROR(IF(B49="funkcna poziadavka",VLOOKUP(G49,MODULY_CBA!$B$3:$E$23,2,0),),)</f>
        <v>0.6</v>
      </c>
      <c r="O49" s="381">
        <f t="shared" si="5"/>
        <v>4.279459459459459</v>
      </c>
      <c r="P49" s="380">
        <f>IFERROR(O49*VLOOKUP(G49,MODULY_CBA!$B$3:$F$23,5,0),)</f>
        <v>85.589189189189185</v>
      </c>
      <c r="Q49" s="482" t="str">
        <f>IFERROR(VLOOKUP(G49,MODULY_CBA!$B$3:$I$23,6,0),"")</f>
        <v>Inkrement 1</v>
      </c>
      <c r="R49" s="387" t="s">
        <v>166</v>
      </c>
      <c r="S49" s="387" t="s">
        <v>1095</v>
      </c>
      <c r="T49" s="385"/>
      <c r="U49" s="385"/>
      <c r="V49" s="385"/>
      <c r="W49" s="385"/>
      <c r="X49" s="385"/>
      <c r="Y49" s="385"/>
      <c r="Z49" s="385"/>
      <c r="AA49" s="385"/>
      <c r="AB49" s="385"/>
      <c r="AC49" s="385"/>
      <c r="AD49" s="385"/>
      <c r="AE49" s="385"/>
    </row>
    <row r="50" spans="1:31" ht="25.5">
      <c r="A50" s="404" t="s">
        <v>965</v>
      </c>
      <c r="B50" s="404" t="s">
        <v>747</v>
      </c>
      <c r="C50" s="535" t="s">
        <v>962</v>
      </c>
      <c r="D50" s="537" t="s">
        <v>966</v>
      </c>
      <c r="E50" s="535" t="s">
        <v>967</v>
      </c>
      <c r="F50" s="392" t="s">
        <v>815</v>
      </c>
      <c r="G50" s="392" t="s">
        <v>797</v>
      </c>
      <c r="H50" s="382">
        <v>1</v>
      </c>
      <c r="I50" s="382">
        <v>5</v>
      </c>
      <c r="J50" s="382">
        <f t="shared" si="4"/>
        <v>1</v>
      </c>
      <c r="K50" s="382">
        <f t="shared" si="1"/>
        <v>5</v>
      </c>
      <c r="L50" s="646">
        <f>IFERROR(IF(B50="funkcna poziadavka",VLOOKUP(G50,MODULY_CBA!$B$3:$E$23,4,0)*H50/SUMIFS($H$3:$H$199,$G$3:$G$199,G50,$B$3:$B$199,B50),),)</f>
        <v>9.45945945945946E-2</v>
      </c>
      <c r="M50" s="382">
        <f>IFERROR(IF(B50="Funkcna poziadavka",VLOOKUP(G50,MODULY_CBA!$B$3:$E$23,3,0),),)</f>
        <v>1.4</v>
      </c>
      <c r="N50" s="382">
        <f>IFERROR(IF(B50="funkcna poziadavka",VLOOKUP(G50,MODULY_CBA!$B$3:$E$23,2,0),),)</f>
        <v>0.6</v>
      </c>
      <c r="O50" s="381">
        <f t="shared" si="5"/>
        <v>4.279459459459459</v>
      </c>
      <c r="P50" s="380">
        <f>IFERROR(O50*VLOOKUP(G50,MODULY_CBA!$B$3:$F$23,5,0),)</f>
        <v>85.589189189189185</v>
      </c>
      <c r="Q50" s="482" t="str">
        <f>IFERROR(VLOOKUP(G50,MODULY_CBA!$B$3:$I$23,6,0),"")</f>
        <v>Inkrement 1</v>
      </c>
      <c r="R50" s="387" t="s">
        <v>166</v>
      </c>
      <c r="S50" s="387" t="s">
        <v>1095</v>
      </c>
      <c r="T50" s="385"/>
      <c r="U50" s="385"/>
      <c r="V50" s="385"/>
      <c r="W50" s="385"/>
      <c r="X50" s="385"/>
      <c r="Y50" s="385"/>
      <c r="Z50" s="385"/>
      <c r="AA50" s="385"/>
      <c r="AB50" s="385"/>
      <c r="AC50" s="385"/>
      <c r="AD50" s="385"/>
      <c r="AE50" s="385"/>
    </row>
    <row r="51" spans="1:31">
      <c r="A51" s="404" t="s">
        <v>968</v>
      </c>
      <c r="B51" s="404" t="s">
        <v>747</v>
      </c>
      <c r="C51" s="535" t="s">
        <v>969</v>
      </c>
      <c r="D51" s="537" t="s">
        <v>970</v>
      </c>
      <c r="E51" s="535" t="s">
        <v>971</v>
      </c>
      <c r="F51" s="392" t="s">
        <v>815</v>
      </c>
      <c r="G51" s="392" t="s">
        <v>797</v>
      </c>
      <c r="H51" s="382">
        <v>1</v>
      </c>
      <c r="I51" s="382">
        <v>5</v>
      </c>
      <c r="J51" s="382">
        <f t="shared" si="4"/>
        <v>1</v>
      </c>
      <c r="K51" s="382">
        <f t="shared" si="1"/>
        <v>5</v>
      </c>
      <c r="L51" s="646">
        <f>IFERROR(IF(B51="funkcna poziadavka",VLOOKUP(G51,MODULY_CBA!$B$3:$E$23,4,0)*H51/SUMIFS($H$3:$H$199,$G$3:$G$199,G51,$B$3:$B$199,B51),),)</f>
        <v>9.45945945945946E-2</v>
      </c>
      <c r="M51" s="382">
        <f>IFERROR(IF(B51="Funkcna poziadavka",VLOOKUP(G51,MODULY_CBA!$B$3:$E$23,3,0),),)</f>
        <v>1.4</v>
      </c>
      <c r="N51" s="382">
        <f>IFERROR(IF(B51="funkcna poziadavka",VLOOKUP(G51,MODULY_CBA!$B$3:$E$23,2,0),),)</f>
        <v>0.6</v>
      </c>
      <c r="O51" s="381">
        <f t="shared" si="5"/>
        <v>4.279459459459459</v>
      </c>
      <c r="P51" s="380">
        <f>IFERROR(O51*VLOOKUP(G51,MODULY_CBA!$B$3:$F$23,5,0),)</f>
        <v>85.589189189189185</v>
      </c>
      <c r="Q51" s="482" t="str">
        <f>IFERROR(VLOOKUP(G51,MODULY_CBA!$B$3:$I$23,6,0),"")</f>
        <v>Inkrement 1</v>
      </c>
      <c r="R51" s="387" t="s">
        <v>166</v>
      </c>
      <c r="S51" s="387" t="s">
        <v>1095</v>
      </c>
      <c r="T51" s="385"/>
      <c r="U51" s="385"/>
      <c r="V51" s="385"/>
      <c r="W51" s="385"/>
      <c r="X51" s="385"/>
      <c r="Y51" s="385"/>
      <c r="Z51" s="385"/>
      <c r="AA51" s="385"/>
      <c r="AB51" s="385"/>
      <c r="AC51" s="385"/>
      <c r="AD51" s="385"/>
      <c r="AE51" s="385"/>
    </row>
    <row r="52" spans="1:31">
      <c r="A52" s="404" t="s">
        <v>972</v>
      </c>
      <c r="B52" s="404" t="s">
        <v>747</v>
      </c>
      <c r="C52" s="535" t="s">
        <v>969</v>
      </c>
      <c r="D52" s="537" t="s">
        <v>973</v>
      </c>
      <c r="E52" s="535" t="s">
        <v>974</v>
      </c>
      <c r="F52" s="392" t="s">
        <v>815</v>
      </c>
      <c r="G52" s="392" t="s">
        <v>797</v>
      </c>
      <c r="H52" s="382">
        <v>1</v>
      </c>
      <c r="I52" s="382">
        <v>5</v>
      </c>
      <c r="J52" s="382">
        <f t="shared" si="4"/>
        <v>1</v>
      </c>
      <c r="K52" s="382">
        <f t="shared" si="1"/>
        <v>5</v>
      </c>
      <c r="L52" s="646">
        <f>IFERROR(IF(B52="funkcna poziadavka",VLOOKUP(G52,MODULY_CBA!$B$3:$E$23,4,0)*H52/SUMIFS($H$3:$H$199,$G$3:$G$199,G52,$B$3:$B$199,B52),),)</f>
        <v>9.45945945945946E-2</v>
      </c>
      <c r="M52" s="382">
        <f>IFERROR(IF(B52="Funkcna poziadavka",VLOOKUP(G52,MODULY_CBA!$B$3:$E$23,3,0),),)</f>
        <v>1.4</v>
      </c>
      <c r="N52" s="382">
        <f>IFERROR(IF(B52="funkcna poziadavka",VLOOKUP(G52,MODULY_CBA!$B$3:$E$23,2,0),),)</f>
        <v>0.6</v>
      </c>
      <c r="O52" s="381">
        <f t="shared" si="5"/>
        <v>4.279459459459459</v>
      </c>
      <c r="P52" s="380">
        <f>IFERROR(O52*VLOOKUP(G52,MODULY_CBA!$B$3:$F$23,5,0),)</f>
        <v>85.589189189189185</v>
      </c>
      <c r="Q52" s="482" t="str">
        <f>IFERROR(VLOOKUP(G52,MODULY_CBA!$B$3:$I$23,6,0),"")</f>
        <v>Inkrement 1</v>
      </c>
      <c r="R52" s="387" t="s">
        <v>166</v>
      </c>
      <c r="S52" s="387" t="s">
        <v>1095</v>
      </c>
      <c r="T52" s="385" t="s">
        <v>168</v>
      </c>
      <c r="U52" s="385" t="s">
        <v>168</v>
      </c>
      <c r="V52" s="385" t="s">
        <v>168</v>
      </c>
      <c r="W52" s="385" t="s">
        <v>168</v>
      </c>
      <c r="X52" s="385" t="s">
        <v>168</v>
      </c>
      <c r="Y52" s="385" t="s">
        <v>168</v>
      </c>
      <c r="Z52" s="385" t="s">
        <v>168</v>
      </c>
      <c r="AA52" s="385" t="s">
        <v>168</v>
      </c>
      <c r="AB52" s="385" t="s">
        <v>168</v>
      </c>
      <c r="AC52" s="385" t="s">
        <v>168</v>
      </c>
      <c r="AD52" s="385" t="s">
        <v>168</v>
      </c>
      <c r="AE52" s="385" t="s">
        <v>168</v>
      </c>
    </row>
    <row r="53" spans="1:31">
      <c r="A53" s="404" t="s">
        <v>975</v>
      </c>
      <c r="B53" s="404" t="s">
        <v>747</v>
      </c>
      <c r="C53" s="535" t="s">
        <v>976</v>
      </c>
      <c r="D53" s="537" t="s">
        <v>877</v>
      </c>
      <c r="E53" s="537" t="s">
        <v>977</v>
      </c>
      <c r="F53" s="392" t="s">
        <v>815</v>
      </c>
      <c r="G53" s="392" t="s">
        <v>797</v>
      </c>
      <c r="H53" s="382">
        <v>1</v>
      </c>
      <c r="I53" s="382">
        <v>5</v>
      </c>
      <c r="J53" s="382">
        <f t="shared" si="4"/>
        <v>1</v>
      </c>
      <c r="K53" s="382">
        <f t="shared" si="1"/>
        <v>5</v>
      </c>
      <c r="L53" s="646">
        <f>IFERROR(IF(B53="funkcna poziadavka",VLOOKUP(G53,MODULY_CBA!$B$3:$E$23,4,0)*H53/SUMIFS($H$3:$H$199,$G$3:$G$199,G53,$B$3:$B$199,B53),),)</f>
        <v>9.45945945945946E-2</v>
      </c>
      <c r="M53" s="382">
        <f>IFERROR(IF(B53="Funkcna poziadavka",VLOOKUP(G53,MODULY_CBA!$B$3:$E$23,3,0),),)</f>
        <v>1.4</v>
      </c>
      <c r="N53" s="382">
        <f>IFERROR(IF(B53="funkcna poziadavka",VLOOKUP(G53,MODULY_CBA!$B$3:$E$23,2,0),),)</f>
        <v>0.6</v>
      </c>
      <c r="O53" s="381">
        <f t="shared" si="5"/>
        <v>4.279459459459459</v>
      </c>
      <c r="P53" s="380">
        <f>IFERROR(O53*VLOOKUP(G53,MODULY_CBA!$B$3:$F$23,5,0),)</f>
        <v>85.589189189189185</v>
      </c>
      <c r="Q53" s="482" t="str">
        <f>IFERROR(VLOOKUP(G53,MODULY_CBA!$B$3:$I$23,6,0),"")</f>
        <v>Inkrement 1</v>
      </c>
      <c r="R53" s="387" t="s">
        <v>166</v>
      </c>
      <c r="S53" s="387" t="s">
        <v>1095</v>
      </c>
      <c r="T53" s="385" t="s">
        <v>168</v>
      </c>
      <c r="U53" s="385" t="s">
        <v>168</v>
      </c>
      <c r="V53" s="385" t="s">
        <v>168</v>
      </c>
      <c r="W53" s="385" t="s">
        <v>168</v>
      </c>
      <c r="X53" s="385" t="s">
        <v>168</v>
      </c>
      <c r="Y53" s="385" t="s">
        <v>168</v>
      </c>
      <c r="Z53" s="385" t="s">
        <v>168</v>
      </c>
      <c r="AA53" s="385" t="s">
        <v>168</v>
      </c>
      <c r="AB53" s="385" t="s">
        <v>168</v>
      </c>
      <c r="AC53" s="385" t="s">
        <v>168</v>
      </c>
      <c r="AD53" s="385" t="s">
        <v>168</v>
      </c>
      <c r="AE53" s="385" t="s">
        <v>168</v>
      </c>
    </row>
    <row r="54" spans="1:31" ht="25.5">
      <c r="A54" s="404" t="s">
        <v>978</v>
      </c>
      <c r="B54" s="404" t="s">
        <v>747</v>
      </c>
      <c r="C54" s="535" t="s">
        <v>979</v>
      </c>
      <c r="D54" s="537" t="s">
        <v>980</v>
      </c>
      <c r="E54" s="535" t="s">
        <v>981</v>
      </c>
      <c r="F54" s="392" t="s">
        <v>815</v>
      </c>
      <c r="G54" s="392" t="s">
        <v>797</v>
      </c>
      <c r="H54" s="382">
        <v>1</v>
      </c>
      <c r="I54" s="382">
        <v>5</v>
      </c>
      <c r="J54" s="382">
        <f t="shared" si="4"/>
        <v>1</v>
      </c>
      <c r="K54" s="382">
        <f t="shared" si="1"/>
        <v>5</v>
      </c>
      <c r="L54" s="646">
        <f>IFERROR(IF(B54="funkcna poziadavka",VLOOKUP(G54,MODULY_CBA!$B$3:$E$23,4,0)*H54/SUMIFS($H$3:$H$199,$G$3:$G$199,G54,$B$3:$B$199,B54),),)</f>
        <v>9.45945945945946E-2</v>
      </c>
      <c r="M54" s="382">
        <f>IFERROR(IF(B54="Funkcna poziadavka",VLOOKUP(G54,MODULY_CBA!$B$3:$E$23,3,0),),)</f>
        <v>1.4</v>
      </c>
      <c r="N54" s="382">
        <f>IFERROR(IF(B54="funkcna poziadavka",VLOOKUP(G54,MODULY_CBA!$B$3:$E$23,2,0),),)</f>
        <v>0.6</v>
      </c>
      <c r="O54" s="381">
        <f t="shared" si="5"/>
        <v>4.279459459459459</v>
      </c>
      <c r="P54" s="380">
        <f>IFERROR(O54*VLOOKUP(G54,MODULY_CBA!$B$3:$F$23,5,0),)</f>
        <v>85.589189189189185</v>
      </c>
      <c r="Q54" s="482" t="str">
        <f>IFERROR(VLOOKUP(G54,MODULY_CBA!$B$3:$I$23,6,0),"")</f>
        <v>Inkrement 1</v>
      </c>
      <c r="R54" s="387" t="s">
        <v>166</v>
      </c>
      <c r="S54" s="387" t="s">
        <v>1095</v>
      </c>
      <c r="T54" s="385"/>
      <c r="U54" s="385"/>
      <c r="V54" s="385"/>
      <c r="W54" s="385"/>
      <c r="X54" s="385"/>
      <c r="Y54" s="385"/>
      <c r="Z54" s="385"/>
      <c r="AA54" s="385"/>
      <c r="AB54" s="385"/>
      <c r="AC54" s="385"/>
      <c r="AD54" s="385"/>
      <c r="AE54" s="385"/>
    </row>
    <row r="55" spans="1:31" ht="25.5">
      <c r="A55" s="404" t="s">
        <v>982</v>
      </c>
      <c r="B55" s="404" t="s">
        <v>747</v>
      </c>
      <c r="C55" s="535" t="s">
        <v>979</v>
      </c>
      <c r="D55" s="537" t="s">
        <v>983</v>
      </c>
      <c r="E55" s="535" t="s">
        <v>984</v>
      </c>
      <c r="F55" s="392" t="s">
        <v>815</v>
      </c>
      <c r="G55" s="392" t="s">
        <v>797</v>
      </c>
      <c r="H55" s="382">
        <v>1</v>
      </c>
      <c r="I55" s="382">
        <v>5</v>
      </c>
      <c r="J55" s="382">
        <f t="shared" si="4"/>
        <v>1</v>
      </c>
      <c r="K55" s="382">
        <f t="shared" si="1"/>
        <v>5</v>
      </c>
      <c r="L55" s="646">
        <f>IFERROR(IF(B55="funkcna poziadavka",VLOOKUP(G55,MODULY_CBA!$B$3:$E$23,4,0)*H55/SUMIFS($H$3:$H$199,$G$3:$G$199,G55,$B$3:$B$199,B55),),)</f>
        <v>9.45945945945946E-2</v>
      </c>
      <c r="M55" s="382">
        <f>IFERROR(IF(B55="Funkcna poziadavka",VLOOKUP(G55,MODULY_CBA!$B$3:$E$23,3,0),),)</f>
        <v>1.4</v>
      </c>
      <c r="N55" s="382">
        <f>IFERROR(IF(B55="funkcna poziadavka",VLOOKUP(G55,MODULY_CBA!$B$3:$E$23,2,0),),)</f>
        <v>0.6</v>
      </c>
      <c r="O55" s="381">
        <f t="shared" si="5"/>
        <v>4.279459459459459</v>
      </c>
      <c r="P55" s="380">
        <f>IFERROR(O55*VLOOKUP(G55,MODULY_CBA!$B$3:$F$23,5,0),)</f>
        <v>85.589189189189185</v>
      </c>
      <c r="Q55" s="482" t="str">
        <f>IFERROR(VLOOKUP(G55,MODULY_CBA!$B$3:$I$23,6,0),"")</f>
        <v>Inkrement 1</v>
      </c>
      <c r="R55" s="387" t="s">
        <v>166</v>
      </c>
      <c r="S55" s="387" t="s">
        <v>1095</v>
      </c>
      <c r="T55" s="385"/>
      <c r="U55" s="385"/>
      <c r="V55" s="385"/>
      <c r="W55" s="385"/>
      <c r="X55" s="385"/>
      <c r="Y55" s="385"/>
      <c r="Z55" s="385"/>
      <c r="AA55" s="385"/>
      <c r="AB55" s="385"/>
      <c r="AC55" s="385"/>
      <c r="AD55" s="385"/>
      <c r="AE55" s="385"/>
    </row>
    <row r="56" spans="1:31" ht="25.5">
      <c r="A56" s="404" t="s">
        <v>985</v>
      </c>
      <c r="B56" s="404" t="s">
        <v>747</v>
      </c>
      <c r="C56" s="535" t="s">
        <v>979</v>
      </c>
      <c r="D56" s="537" t="s">
        <v>986</v>
      </c>
      <c r="E56" s="535" t="s">
        <v>987</v>
      </c>
      <c r="F56" s="392" t="s">
        <v>815</v>
      </c>
      <c r="G56" s="392" t="s">
        <v>797</v>
      </c>
      <c r="H56" s="382">
        <v>1</v>
      </c>
      <c r="I56" s="382">
        <v>5</v>
      </c>
      <c r="J56" s="382">
        <f t="shared" si="4"/>
        <v>1</v>
      </c>
      <c r="K56" s="382">
        <f t="shared" si="1"/>
        <v>5</v>
      </c>
      <c r="L56" s="646">
        <f>IFERROR(IF(B56="funkcna poziadavka",VLOOKUP(G56,MODULY_CBA!$B$3:$E$23,4,0)*H56/SUMIFS($H$3:$H$199,$G$3:$G$199,G56,$B$3:$B$199,B56),),)</f>
        <v>9.45945945945946E-2</v>
      </c>
      <c r="M56" s="382">
        <f>IFERROR(IF(B56="Funkcna poziadavka",VLOOKUP(G56,MODULY_CBA!$B$3:$E$23,3,0),),)</f>
        <v>1.4</v>
      </c>
      <c r="N56" s="382">
        <f>IFERROR(IF(B56="funkcna poziadavka",VLOOKUP(G56,MODULY_CBA!$B$3:$E$23,2,0),),)</f>
        <v>0.6</v>
      </c>
      <c r="O56" s="381">
        <f t="shared" si="5"/>
        <v>4.279459459459459</v>
      </c>
      <c r="P56" s="380">
        <f>IFERROR(O56*VLOOKUP(G56,MODULY_CBA!$B$3:$F$23,5,0),)</f>
        <v>85.589189189189185</v>
      </c>
      <c r="Q56" s="482" t="str">
        <f>IFERROR(VLOOKUP(G56,MODULY_CBA!$B$3:$I$23,6,0),"")</f>
        <v>Inkrement 1</v>
      </c>
      <c r="R56" s="387" t="s">
        <v>166</v>
      </c>
      <c r="S56" s="387" t="s">
        <v>1095</v>
      </c>
      <c r="T56" s="385" t="s">
        <v>168</v>
      </c>
      <c r="U56" s="385" t="s">
        <v>168</v>
      </c>
      <c r="V56" s="385" t="s">
        <v>168</v>
      </c>
      <c r="W56" s="385" t="s">
        <v>168</v>
      </c>
      <c r="X56" s="385" t="s">
        <v>168</v>
      </c>
      <c r="Y56" s="385" t="s">
        <v>168</v>
      </c>
      <c r="Z56" s="385" t="s">
        <v>168</v>
      </c>
      <c r="AA56" s="385" t="s">
        <v>168</v>
      </c>
      <c r="AB56" s="385" t="s">
        <v>168</v>
      </c>
      <c r="AC56" s="385" t="s">
        <v>168</v>
      </c>
      <c r="AD56" s="385" t="s">
        <v>168</v>
      </c>
      <c r="AE56" s="385" t="s">
        <v>168</v>
      </c>
    </row>
    <row r="57" spans="1:31" ht="25.5">
      <c r="A57" s="404" t="s">
        <v>988</v>
      </c>
      <c r="B57" s="404" t="s">
        <v>747</v>
      </c>
      <c r="C57" s="535" t="s">
        <v>979</v>
      </c>
      <c r="D57" s="537" t="s">
        <v>989</v>
      </c>
      <c r="E57" s="535" t="s">
        <v>990</v>
      </c>
      <c r="F57" s="392" t="s">
        <v>815</v>
      </c>
      <c r="G57" s="392" t="s">
        <v>797</v>
      </c>
      <c r="H57" s="382">
        <v>1</v>
      </c>
      <c r="I57" s="382">
        <v>5</v>
      </c>
      <c r="J57" s="382">
        <f t="shared" si="4"/>
        <v>1</v>
      </c>
      <c r="K57" s="382">
        <f t="shared" si="1"/>
        <v>5</v>
      </c>
      <c r="L57" s="646">
        <f>IFERROR(IF(B57="funkcna poziadavka",VLOOKUP(G57,MODULY_CBA!$B$3:$E$23,4,0)*H57/SUMIFS($H$3:$H$199,$G$3:$G$199,G57,$B$3:$B$199,B57),),)</f>
        <v>9.45945945945946E-2</v>
      </c>
      <c r="M57" s="382">
        <f>IFERROR(IF(B57="Funkcna poziadavka",VLOOKUP(G57,MODULY_CBA!$B$3:$E$23,3,0),),)</f>
        <v>1.4</v>
      </c>
      <c r="N57" s="382">
        <f>IFERROR(IF(B57="funkcna poziadavka",VLOOKUP(G57,MODULY_CBA!$B$3:$E$23,2,0),),)</f>
        <v>0.6</v>
      </c>
      <c r="O57" s="381">
        <f t="shared" si="5"/>
        <v>4.279459459459459</v>
      </c>
      <c r="P57" s="380">
        <f>IFERROR(O57*VLOOKUP(G57,MODULY_CBA!$B$3:$F$23,5,0),)</f>
        <v>85.589189189189185</v>
      </c>
      <c r="Q57" s="482" t="str">
        <f>IFERROR(VLOOKUP(G57,MODULY_CBA!$B$3:$I$23,6,0),"")</f>
        <v>Inkrement 1</v>
      </c>
      <c r="R57" s="387" t="s">
        <v>166</v>
      </c>
      <c r="S57" s="387" t="s">
        <v>1095</v>
      </c>
      <c r="T57" s="385"/>
      <c r="U57" s="385"/>
      <c r="V57" s="385"/>
      <c r="W57" s="385"/>
      <c r="X57" s="385"/>
      <c r="Y57" s="385"/>
      <c r="Z57" s="385"/>
      <c r="AA57" s="385"/>
      <c r="AB57" s="385"/>
      <c r="AC57" s="385"/>
      <c r="AD57" s="385"/>
      <c r="AE57" s="385"/>
    </row>
    <row r="58" spans="1:31" ht="25.5">
      <c r="A58" s="404" t="s">
        <v>991</v>
      </c>
      <c r="B58" s="404" t="s">
        <v>747</v>
      </c>
      <c r="C58" s="535" t="s">
        <v>979</v>
      </c>
      <c r="D58" s="537" t="s">
        <v>992</v>
      </c>
      <c r="E58" s="535" t="s">
        <v>993</v>
      </c>
      <c r="F58" s="392" t="s">
        <v>815</v>
      </c>
      <c r="G58" s="392" t="s">
        <v>797</v>
      </c>
      <c r="H58" s="382">
        <v>1</v>
      </c>
      <c r="I58" s="382">
        <v>5</v>
      </c>
      <c r="J58" s="382">
        <f t="shared" si="4"/>
        <v>1</v>
      </c>
      <c r="K58" s="382">
        <f t="shared" si="1"/>
        <v>5</v>
      </c>
      <c r="L58" s="646">
        <f>IFERROR(IF(B58="funkcna poziadavka",VLOOKUP(G58,MODULY_CBA!$B$3:$E$23,4,0)*H58/SUMIFS($H$3:$H$199,$G$3:$G$199,G58,$B$3:$B$199,B58),),)</f>
        <v>9.45945945945946E-2</v>
      </c>
      <c r="M58" s="382">
        <f>IFERROR(IF(B58="Funkcna poziadavka",VLOOKUP(G58,MODULY_CBA!$B$3:$E$23,3,0),),)</f>
        <v>1.4</v>
      </c>
      <c r="N58" s="382">
        <f>IFERROR(IF(B58="funkcna poziadavka",VLOOKUP(G58,MODULY_CBA!$B$3:$E$23,2,0),),)</f>
        <v>0.6</v>
      </c>
      <c r="O58" s="381">
        <f t="shared" si="5"/>
        <v>4.279459459459459</v>
      </c>
      <c r="P58" s="380">
        <f>IFERROR(O58*VLOOKUP(G58,MODULY_CBA!$B$3:$F$23,5,0),)</f>
        <v>85.589189189189185</v>
      </c>
      <c r="Q58" s="482" t="str">
        <f>IFERROR(VLOOKUP(G58,MODULY_CBA!$B$3:$I$23,6,0),"")</f>
        <v>Inkrement 1</v>
      </c>
      <c r="R58" s="387" t="s">
        <v>166</v>
      </c>
      <c r="S58" s="387" t="s">
        <v>1095</v>
      </c>
      <c r="T58" s="385"/>
      <c r="U58" s="385"/>
      <c r="V58" s="385"/>
      <c r="W58" s="385"/>
      <c r="X58" s="385"/>
      <c r="Y58" s="385"/>
      <c r="Z58" s="385"/>
      <c r="AA58" s="385"/>
      <c r="AB58" s="385"/>
      <c r="AC58" s="385"/>
      <c r="AD58" s="385"/>
      <c r="AE58" s="385"/>
    </row>
    <row r="59" spans="1:31" ht="25.5">
      <c r="A59" s="404" t="s">
        <v>994</v>
      </c>
      <c r="B59" s="404" t="s">
        <v>747</v>
      </c>
      <c r="C59" s="535" t="s">
        <v>979</v>
      </c>
      <c r="D59" s="537" t="s">
        <v>995</v>
      </c>
      <c r="E59" s="535" t="s">
        <v>996</v>
      </c>
      <c r="F59" s="392" t="s">
        <v>815</v>
      </c>
      <c r="G59" s="392" t="s">
        <v>797</v>
      </c>
      <c r="H59" s="382">
        <v>1</v>
      </c>
      <c r="I59" s="382">
        <v>5</v>
      </c>
      <c r="J59" s="382">
        <f t="shared" si="4"/>
        <v>1</v>
      </c>
      <c r="K59" s="382">
        <f t="shared" si="1"/>
        <v>5</v>
      </c>
      <c r="L59" s="646">
        <f>IFERROR(IF(B59="funkcna poziadavka",VLOOKUP(G59,MODULY_CBA!$B$3:$E$23,4,0)*H59/SUMIFS($H$3:$H$199,$G$3:$G$199,G59,$B$3:$B$199,B59),),)</f>
        <v>9.45945945945946E-2</v>
      </c>
      <c r="M59" s="382">
        <f>IFERROR(IF(B59="Funkcna poziadavka",VLOOKUP(G59,MODULY_CBA!$B$3:$E$23,3,0),),)</f>
        <v>1.4</v>
      </c>
      <c r="N59" s="382">
        <f>IFERROR(IF(B59="funkcna poziadavka",VLOOKUP(G59,MODULY_CBA!$B$3:$E$23,2,0),),)</f>
        <v>0.6</v>
      </c>
      <c r="O59" s="381">
        <f t="shared" si="5"/>
        <v>4.279459459459459</v>
      </c>
      <c r="P59" s="380">
        <f>IFERROR(O59*VLOOKUP(G59,MODULY_CBA!$B$3:$F$23,5,0),)</f>
        <v>85.589189189189185</v>
      </c>
      <c r="Q59" s="482" t="str">
        <f>IFERROR(VLOOKUP(G59,MODULY_CBA!$B$3:$I$23,6,0),"")</f>
        <v>Inkrement 1</v>
      </c>
      <c r="R59" s="387" t="s">
        <v>166</v>
      </c>
      <c r="S59" s="387" t="s">
        <v>1095</v>
      </c>
      <c r="T59" s="385"/>
      <c r="U59" s="385"/>
      <c r="V59" s="385"/>
      <c r="W59" s="385"/>
      <c r="X59" s="385"/>
      <c r="Y59" s="385"/>
      <c r="Z59" s="385"/>
      <c r="AA59" s="385"/>
      <c r="AB59" s="385"/>
      <c r="AC59" s="385"/>
      <c r="AD59" s="385"/>
      <c r="AE59" s="385"/>
    </row>
    <row r="60" spans="1:31" ht="25.5">
      <c r="A60" s="404" t="s">
        <v>997</v>
      </c>
      <c r="B60" s="404" t="s">
        <v>747</v>
      </c>
      <c r="C60" s="535" t="s">
        <v>979</v>
      </c>
      <c r="D60" s="537" t="s">
        <v>998</v>
      </c>
      <c r="E60" s="535" t="s">
        <v>999</v>
      </c>
      <c r="F60" s="392" t="s">
        <v>815</v>
      </c>
      <c r="G60" s="392" t="s">
        <v>797</v>
      </c>
      <c r="H60" s="382">
        <v>1</v>
      </c>
      <c r="I60" s="382">
        <v>5</v>
      </c>
      <c r="J60" s="382">
        <f t="shared" si="4"/>
        <v>1</v>
      </c>
      <c r="K60" s="382">
        <f t="shared" si="1"/>
        <v>5</v>
      </c>
      <c r="L60" s="646">
        <f>IFERROR(IF(B60="funkcna poziadavka",VLOOKUP(G60,MODULY_CBA!$B$3:$E$23,4,0)*H60/SUMIFS($H$3:$H$199,$G$3:$G$199,G60,$B$3:$B$199,B60),),)</f>
        <v>9.45945945945946E-2</v>
      </c>
      <c r="M60" s="382">
        <f>IFERROR(IF(B60="Funkcna poziadavka",VLOOKUP(G60,MODULY_CBA!$B$3:$E$23,3,0),),)</f>
        <v>1.4</v>
      </c>
      <c r="N60" s="382">
        <f>IFERROR(IF(B60="funkcna poziadavka",VLOOKUP(G60,MODULY_CBA!$B$3:$E$23,2,0),),)</f>
        <v>0.6</v>
      </c>
      <c r="O60" s="381">
        <f t="shared" si="5"/>
        <v>4.279459459459459</v>
      </c>
      <c r="P60" s="380">
        <f>IFERROR(O60*VLOOKUP(G60,MODULY_CBA!$B$3:$F$23,5,0),)</f>
        <v>85.589189189189185</v>
      </c>
      <c r="Q60" s="482" t="str">
        <f>IFERROR(VLOOKUP(G60,MODULY_CBA!$B$3:$I$23,6,0),"")</f>
        <v>Inkrement 1</v>
      </c>
      <c r="R60" s="387" t="s">
        <v>166</v>
      </c>
      <c r="S60" s="387" t="s">
        <v>1095</v>
      </c>
      <c r="T60" s="385"/>
      <c r="U60" s="385"/>
      <c r="V60" s="385"/>
      <c r="W60" s="385"/>
      <c r="X60" s="385"/>
      <c r="Y60" s="385"/>
      <c r="Z60" s="385"/>
      <c r="AA60" s="385"/>
      <c r="AB60" s="385"/>
      <c r="AC60" s="385"/>
      <c r="AD60" s="385"/>
      <c r="AE60" s="385"/>
    </row>
    <row r="61" spans="1:31" ht="25.5">
      <c r="A61" s="404" t="s">
        <v>1000</v>
      </c>
      <c r="B61" s="404" t="s">
        <v>747</v>
      </c>
      <c r="C61" s="535" t="s">
        <v>979</v>
      </c>
      <c r="D61" s="537" t="s">
        <v>1001</v>
      </c>
      <c r="E61" s="535" t="s">
        <v>1002</v>
      </c>
      <c r="F61" s="392" t="s">
        <v>815</v>
      </c>
      <c r="G61" s="392" t="s">
        <v>797</v>
      </c>
      <c r="H61" s="382">
        <v>1</v>
      </c>
      <c r="I61" s="382">
        <v>5</v>
      </c>
      <c r="J61" s="382">
        <f t="shared" si="4"/>
        <v>1</v>
      </c>
      <c r="K61" s="382">
        <f t="shared" si="1"/>
        <v>5</v>
      </c>
      <c r="L61" s="646">
        <f>IFERROR(IF(B61="funkcna poziadavka",VLOOKUP(G61,MODULY_CBA!$B$3:$E$23,4,0)*H61/SUMIFS($H$3:$H$199,$G$3:$G$199,G61,$B$3:$B$199,B61),),)</f>
        <v>9.45945945945946E-2</v>
      </c>
      <c r="M61" s="382">
        <f>IFERROR(IF(B61="Funkcna poziadavka",VLOOKUP(G61,MODULY_CBA!$B$3:$E$23,3,0),),)</f>
        <v>1.4</v>
      </c>
      <c r="N61" s="382">
        <f>IFERROR(IF(B61="funkcna poziadavka",VLOOKUP(G61,MODULY_CBA!$B$3:$E$23,2,0),),)</f>
        <v>0.6</v>
      </c>
      <c r="O61" s="381">
        <f t="shared" si="5"/>
        <v>4.279459459459459</v>
      </c>
      <c r="P61" s="380">
        <f>IFERROR(O61*VLOOKUP(G61,MODULY_CBA!$B$3:$F$23,5,0),)</f>
        <v>85.589189189189185</v>
      </c>
      <c r="Q61" s="482" t="str">
        <f>IFERROR(VLOOKUP(G61,MODULY_CBA!$B$3:$I$23,6,0),"")</f>
        <v>Inkrement 1</v>
      </c>
      <c r="R61" s="387" t="s">
        <v>166</v>
      </c>
      <c r="S61" s="387" t="s">
        <v>1095</v>
      </c>
      <c r="T61" s="385"/>
      <c r="U61" s="385"/>
      <c r="V61" s="385"/>
      <c r="W61" s="385"/>
      <c r="X61" s="385"/>
      <c r="Y61" s="385"/>
      <c r="Z61" s="385"/>
      <c r="AA61" s="385"/>
      <c r="AB61" s="385"/>
      <c r="AC61" s="385"/>
      <c r="AD61" s="385"/>
      <c r="AE61" s="385"/>
    </row>
    <row r="62" spans="1:31" ht="25.5">
      <c r="A62" s="404" t="s">
        <v>1003</v>
      </c>
      <c r="B62" s="404" t="s">
        <v>747</v>
      </c>
      <c r="C62" s="535" t="s">
        <v>979</v>
      </c>
      <c r="D62" s="537" t="s">
        <v>1004</v>
      </c>
      <c r="E62" s="535" t="s">
        <v>1005</v>
      </c>
      <c r="F62" s="392" t="s">
        <v>815</v>
      </c>
      <c r="G62" s="392" t="s">
        <v>797</v>
      </c>
      <c r="H62" s="382">
        <v>1</v>
      </c>
      <c r="I62" s="382">
        <v>5</v>
      </c>
      <c r="J62" s="382">
        <f t="shared" si="4"/>
        <v>1</v>
      </c>
      <c r="K62" s="382">
        <f t="shared" si="1"/>
        <v>5</v>
      </c>
      <c r="L62" s="646">
        <f>IFERROR(IF(B62="funkcna poziadavka",VLOOKUP(G62,MODULY_CBA!$B$3:$E$23,4,0)*H62/SUMIFS($H$3:$H$199,$G$3:$G$199,G62,$B$3:$B$199,B62),),)</f>
        <v>9.45945945945946E-2</v>
      </c>
      <c r="M62" s="382">
        <f>IFERROR(IF(B62="Funkcna poziadavka",VLOOKUP(G62,MODULY_CBA!$B$3:$E$23,3,0),),)</f>
        <v>1.4</v>
      </c>
      <c r="N62" s="382">
        <f>IFERROR(IF(B62="funkcna poziadavka",VLOOKUP(G62,MODULY_CBA!$B$3:$E$23,2,0),),)</f>
        <v>0.6</v>
      </c>
      <c r="O62" s="381">
        <f t="shared" si="5"/>
        <v>4.279459459459459</v>
      </c>
      <c r="P62" s="380">
        <f>IFERROR(O62*VLOOKUP(G62,MODULY_CBA!$B$3:$F$23,5,0),)</f>
        <v>85.589189189189185</v>
      </c>
      <c r="Q62" s="482" t="str">
        <f>IFERROR(VLOOKUP(G62,MODULY_CBA!$B$3:$I$23,6,0),"")</f>
        <v>Inkrement 1</v>
      </c>
      <c r="R62" s="387" t="s">
        <v>166</v>
      </c>
      <c r="S62" s="387" t="s">
        <v>1095</v>
      </c>
      <c r="T62" s="385"/>
      <c r="U62" s="385"/>
      <c r="V62" s="385"/>
      <c r="W62" s="385"/>
      <c r="X62" s="385"/>
      <c r="Y62" s="385"/>
      <c r="Z62" s="385"/>
      <c r="AA62" s="385"/>
      <c r="AB62" s="385"/>
      <c r="AC62" s="385"/>
      <c r="AD62" s="385"/>
      <c r="AE62" s="385"/>
    </row>
    <row r="63" spans="1:31" ht="25.5">
      <c r="A63" s="404" t="s">
        <v>1006</v>
      </c>
      <c r="B63" s="404" t="s">
        <v>747</v>
      </c>
      <c r="C63" s="535" t="s">
        <v>979</v>
      </c>
      <c r="D63" s="537" t="s">
        <v>1007</v>
      </c>
      <c r="E63" s="535" t="s">
        <v>1008</v>
      </c>
      <c r="F63" s="392" t="s">
        <v>815</v>
      </c>
      <c r="G63" s="392" t="s">
        <v>797</v>
      </c>
      <c r="H63" s="382">
        <v>1</v>
      </c>
      <c r="I63" s="382">
        <v>5</v>
      </c>
      <c r="J63" s="382">
        <f t="shared" si="4"/>
        <v>1</v>
      </c>
      <c r="K63" s="382">
        <f t="shared" si="1"/>
        <v>5</v>
      </c>
      <c r="L63" s="646">
        <f>IFERROR(IF(B63="funkcna poziadavka",VLOOKUP(G63,MODULY_CBA!$B$3:$E$23,4,0)*H63/SUMIFS($H$3:$H$199,$G$3:$G$199,G63,$B$3:$B$199,B63),),)</f>
        <v>9.45945945945946E-2</v>
      </c>
      <c r="M63" s="382">
        <f>IFERROR(IF(B63="Funkcna poziadavka",VLOOKUP(G63,MODULY_CBA!$B$3:$E$23,3,0),),)</f>
        <v>1.4</v>
      </c>
      <c r="N63" s="382">
        <f>IFERROR(IF(B63="funkcna poziadavka",VLOOKUP(G63,MODULY_CBA!$B$3:$E$23,2,0),),)</f>
        <v>0.6</v>
      </c>
      <c r="O63" s="381">
        <f t="shared" si="5"/>
        <v>4.279459459459459</v>
      </c>
      <c r="P63" s="380">
        <f>IFERROR(O63*VLOOKUP(G63,MODULY_CBA!$B$3:$F$23,5,0),)</f>
        <v>85.589189189189185</v>
      </c>
      <c r="Q63" s="482" t="str">
        <f>IFERROR(VLOOKUP(G63,MODULY_CBA!$B$3:$I$23,6,0),"")</f>
        <v>Inkrement 1</v>
      </c>
      <c r="R63" s="387" t="s">
        <v>166</v>
      </c>
      <c r="S63" s="387" t="s">
        <v>1095</v>
      </c>
      <c r="T63" s="385"/>
      <c r="U63" s="385"/>
      <c r="V63" s="385"/>
      <c r="W63" s="385"/>
      <c r="X63" s="385"/>
      <c r="Y63" s="385"/>
      <c r="Z63" s="385"/>
      <c r="AA63" s="385"/>
      <c r="AB63" s="385"/>
      <c r="AC63" s="385"/>
      <c r="AD63" s="385"/>
      <c r="AE63" s="385"/>
    </row>
    <row r="64" spans="1:31" ht="25.5">
      <c r="A64" s="404" t="s">
        <v>1009</v>
      </c>
      <c r="B64" s="404" t="s">
        <v>747</v>
      </c>
      <c r="C64" s="535" t="s">
        <v>979</v>
      </c>
      <c r="D64" s="537" t="s">
        <v>1010</v>
      </c>
      <c r="E64" s="535" t="s">
        <v>1011</v>
      </c>
      <c r="F64" s="392" t="s">
        <v>815</v>
      </c>
      <c r="G64" s="392" t="s">
        <v>797</v>
      </c>
      <c r="H64" s="382">
        <v>1</v>
      </c>
      <c r="I64" s="382">
        <v>5</v>
      </c>
      <c r="J64" s="382">
        <f t="shared" si="4"/>
        <v>1</v>
      </c>
      <c r="K64" s="382">
        <f t="shared" si="1"/>
        <v>5</v>
      </c>
      <c r="L64" s="646">
        <f>IFERROR(IF(B64="funkcna poziadavka",VLOOKUP(G64,MODULY_CBA!$B$3:$E$23,4,0)*H64/SUMIFS($H$3:$H$199,$G$3:$G$199,G64,$B$3:$B$199,B64),),)</f>
        <v>9.45945945945946E-2</v>
      </c>
      <c r="M64" s="382">
        <f>IFERROR(IF(B64="Funkcna poziadavka",VLOOKUP(G64,MODULY_CBA!$B$3:$E$23,3,0),),)</f>
        <v>1.4</v>
      </c>
      <c r="N64" s="382">
        <f>IFERROR(IF(B64="funkcna poziadavka",VLOOKUP(G64,MODULY_CBA!$B$3:$E$23,2,0),),)</f>
        <v>0.6</v>
      </c>
      <c r="O64" s="381">
        <f t="shared" si="5"/>
        <v>4.279459459459459</v>
      </c>
      <c r="P64" s="380">
        <f>IFERROR(O64*VLOOKUP(G64,MODULY_CBA!$B$3:$F$23,5,0),)</f>
        <v>85.589189189189185</v>
      </c>
      <c r="Q64" s="482" t="str">
        <f>IFERROR(VLOOKUP(G64,MODULY_CBA!$B$3:$I$23,6,0),"")</f>
        <v>Inkrement 1</v>
      </c>
      <c r="R64" s="387" t="s">
        <v>166</v>
      </c>
      <c r="S64" s="387" t="s">
        <v>1095</v>
      </c>
      <c r="T64" s="385"/>
      <c r="U64" s="385"/>
      <c r="V64" s="385"/>
      <c r="W64" s="385"/>
      <c r="X64" s="385"/>
      <c r="Y64" s="385"/>
      <c r="Z64" s="385"/>
      <c r="AA64" s="385"/>
      <c r="AB64" s="385"/>
      <c r="AC64" s="385"/>
      <c r="AD64" s="385"/>
      <c r="AE64" s="385"/>
    </row>
    <row r="65" spans="1:31" ht="25.5">
      <c r="A65" s="404" t="s">
        <v>1012</v>
      </c>
      <c r="B65" s="404" t="s">
        <v>747</v>
      </c>
      <c r="C65" s="535" t="s">
        <v>979</v>
      </c>
      <c r="D65" s="537" t="s">
        <v>1013</v>
      </c>
      <c r="E65" s="535" t="s">
        <v>1014</v>
      </c>
      <c r="F65" s="392" t="s">
        <v>815</v>
      </c>
      <c r="G65" s="392" t="s">
        <v>797</v>
      </c>
      <c r="H65" s="382">
        <v>1</v>
      </c>
      <c r="I65" s="382">
        <v>5</v>
      </c>
      <c r="J65" s="382">
        <f t="shared" si="4"/>
        <v>1</v>
      </c>
      <c r="K65" s="382">
        <f t="shared" si="1"/>
        <v>5</v>
      </c>
      <c r="L65" s="646">
        <f>IFERROR(IF(B65="funkcna poziadavka",VLOOKUP(G65,MODULY_CBA!$B$3:$E$23,4,0)*H65/SUMIFS($H$3:$H$199,$G$3:$G$199,G65,$B$3:$B$199,B65),),)</f>
        <v>9.45945945945946E-2</v>
      </c>
      <c r="M65" s="382">
        <f>IFERROR(IF(B65="Funkcna poziadavka",VLOOKUP(G65,MODULY_CBA!$B$3:$E$23,3,0),),)</f>
        <v>1.4</v>
      </c>
      <c r="N65" s="382">
        <f>IFERROR(IF(B65="funkcna poziadavka",VLOOKUP(G65,MODULY_CBA!$B$3:$E$23,2,0),),)</f>
        <v>0.6</v>
      </c>
      <c r="O65" s="381">
        <f t="shared" si="5"/>
        <v>4.279459459459459</v>
      </c>
      <c r="P65" s="380">
        <f>IFERROR(O65*VLOOKUP(G65,MODULY_CBA!$B$3:$F$23,5,0),)</f>
        <v>85.589189189189185</v>
      </c>
      <c r="Q65" s="482" t="str">
        <f>IFERROR(VLOOKUP(G65,MODULY_CBA!$B$3:$I$23,6,0),"")</f>
        <v>Inkrement 1</v>
      </c>
      <c r="R65" s="387" t="s">
        <v>166</v>
      </c>
      <c r="S65" s="387" t="s">
        <v>1095</v>
      </c>
      <c r="T65" s="385"/>
      <c r="U65" s="385"/>
      <c r="V65" s="385"/>
      <c r="W65" s="385"/>
      <c r="X65" s="385"/>
      <c r="Y65" s="385"/>
      <c r="Z65" s="385"/>
      <c r="AA65" s="385"/>
      <c r="AB65" s="385"/>
      <c r="AC65" s="385"/>
      <c r="AD65" s="385"/>
      <c r="AE65" s="385"/>
    </row>
    <row r="66" spans="1:31" ht="25.5">
      <c r="A66" s="404" t="s">
        <v>1015</v>
      </c>
      <c r="B66" s="404" t="s">
        <v>747</v>
      </c>
      <c r="C66" s="535" t="s">
        <v>979</v>
      </c>
      <c r="D66" s="537" t="s">
        <v>1016</v>
      </c>
      <c r="E66" s="535" t="s">
        <v>1017</v>
      </c>
      <c r="F66" s="392" t="s">
        <v>815</v>
      </c>
      <c r="G66" s="392" t="s">
        <v>797</v>
      </c>
      <c r="H66" s="382">
        <v>1</v>
      </c>
      <c r="I66" s="382">
        <v>5</v>
      </c>
      <c r="J66" s="382">
        <f t="shared" si="4"/>
        <v>1</v>
      </c>
      <c r="K66" s="382">
        <f t="shared" si="1"/>
        <v>5</v>
      </c>
      <c r="L66" s="646">
        <f>IFERROR(IF(B66="funkcna poziadavka",VLOOKUP(G66,MODULY_CBA!$B$3:$E$23,4,0)*H66/SUMIFS($H$3:$H$199,$G$3:$G$199,G66,$B$3:$B$199,B66),),)</f>
        <v>9.45945945945946E-2</v>
      </c>
      <c r="M66" s="382">
        <f>IFERROR(IF(B66="Funkcna poziadavka",VLOOKUP(G66,MODULY_CBA!$B$3:$E$23,3,0),),)</f>
        <v>1.4</v>
      </c>
      <c r="N66" s="382">
        <f>IFERROR(IF(B66="funkcna poziadavka",VLOOKUP(G66,MODULY_CBA!$B$3:$E$23,2,0),),)</f>
        <v>0.6</v>
      </c>
      <c r="O66" s="381">
        <f t="shared" si="5"/>
        <v>4.279459459459459</v>
      </c>
      <c r="P66" s="380">
        <f>IFERROR(O66*VLOOKUP(G66,MODULY_CBA!$B$3:$F$23,5,0),)</f>
        <v>85.589189189189185</v>
      </c>
      <c r="Q66" s="482" t="str">
        <f>IFERROR(VLOOKUP(G66,MODULY_CBA!$B$3:$I$23,6,0),"")</f>
        <v>Inkrement 1</v>
      </c>
      <c r="R66" s="387" t="s">
        <v>166</v>
      </c>
      <c r="S66" s="387" t="s">
        <v>1095</v>
      </c>
      <c r="T66" s="385"/>
      <c r="U66" s="385"/>
      <c r="V66" s="385"/>
      <c r="W66" s="385"/>
      <c r="X66" s="385"/>
      <c r="Y66" s="385"/>
      <c r="Z66" s="385"/>
      <c r="AA66" s="385"/>
      <c r="AB66" s="385"/>
      <c r="AC66" s="385"/>
      <c r="AD66" s="385"/>
      <c r="AE66" s="385"/>
    </row>
    <row r="67" spans="1:31" ht="25.5">
      <c r="A67" s="404" t="s">
        <v>1018</v>
      </c>
      <c r="B67" s="404" t="s">
        <v>747</v>
      </c>
      <c r="C67" s="535" t="s">
        <v>979</v>
      </c>
      <c r="D67" s="537" t="s">
        <v>1019</v>
      </c>
      <c r="E67" s="535" t="s">
        <v>1020</v>
      </c>
      <c r="F67" s="392" t="s">
        <v>815</v>
      </c>
      <c r="G67" s="392" t="s">
        <v>797</v>
      </c>
      <c r="H67" s="382">
        <v>1</v>
      </c>
      <c r="I67" s="382">
        <v>5</v>
      </c>
      <c r="J67" s="382">
        <f t="shared" ref="J67:J98" si="6">IF(ISNUMBER(H67),H67,)</f>
        <v>1</v>
      </c>
      <c r="K67" s="382">
        <f t="shared" si="1"/>
        <v>5</v>
      </c>
      <c r="L67" s="646">
        <f>IFERROR(IF(B67="funkcna poziadavka",VLOOKUP(G67,MODULY_CBA!$B$3:$E$23,4,0)*H67/SUMIFS($H$3:$H$199,$G$3:$G$199,G67,$B$3:$B$199,B67),),)</f>
        <v>9.45945945945946E-2</v>
      </c>
      <c r="M67" s="382">
        <f>IFERROR(IF(B67="Funkcna poziadavka",VLOOKUP(G67,MODULY_CBA!$B$3:$E$23,3,0),),)</f>
        <v>1.4</v>
      </c>
      <c r="N67" s="382">
        <f>IFERROR(IF(B67="funkcna poziadavka",VLOOKUP(G67,MODULY_CBA!$B$3:$E$23,2,0),),)</f>
        <v>0.6</v>
      </c>
      <c r="O67" s="381">
        <f t="shared" ref="O67:O98" si="7">(K67+L67)*M67*N67</f>
        <v>4.279459459459459</v>
      </c>
      <c r="P67" s="380">
        <f>IFERROR(O67*VLOOKUP(G67,MODULY_CBA!$B$3:$F$23,5,0),)</f>
        <v>85.589189189189185</v>
      </c>
      <c r="Q67" s="482" t="str">
        <f>IFERROR(VLOOKUP(G67,MODULY_CBA!$B$3:$I$23,6,0),"")</f>
        <v>Inkrement 1</v>
      </c>
      <c r="R67" s="387" t="s">
        <v>166</v>
      </c>
      <c r="S67" s="387" t="s">
        <v>1095</v>
      </c>
      <c r="T67" s="385"/>
      <c r="U67" s="385"/>
      <c r="V67" s="385"/>
      <c r="W67" s="385"/>
      <c r="X67" s="385"/>
      <c r="Y67" s="385"/>
      <c r="Z67" s="385"/>
      <c r="AA67" s="385"/>
      <c r="AB67" s="385"/>
      <c r="AC67" s="385"/>
      <c r="AD67" s="385"/>
      <c r="AE67" s="385"/>
    </row>
    <row r="68" spans="1:31" ht="25.5">
      <c r="A68" s="404" t="s">
        <v>1021</v>
      </c>
      <c r="B68" s="404" t="s">
        <v>747</v>
      </c>
      <c r="C68" s="535" t="s">
        <v>1022</v>
      </c>
      <c r="D68" s="537" t="s">
        <v>1023</v>
      </c>
      <c r="E68" s="535" t="s">
        <v>1024</v>
      </c>
      <c r="F68" s="392" t="s">
        <v>815</v>
      </c>
      <c r="G68" s="392" t="s">
        <v>797</v>
      </c>
      <c r="H68" s="382">
        <v>1</v>
      </c>
      <c r="I68" s="382">
        <v>5</v>
      </c>
      <c r="J68" s="382">
        <f t="shared" si="6"/>
        <v>1</v>
      </c>
      <c r="K68" s="382">
        <f t="shared" ref="K68:K131" si="8">H68*I68</f>
        <v>5</v>
      </c>
      <c r="L68" s="646">
        <f>IFERROR(IF(B68="funkcna poziadavka",VLOOKUP(G68,MODULY_CBA!$B$3:$E$23,4,0)*H68/SUMIFS($H$3:$H$199,$G$3:$G$199,G68,$B$3:$B$199,B68),),)</f>
        <v>9.45945945945946E-2</v>
      </c>
      <c r="M68" s="382">
        <f>IFERROR(IF(B68="Funkcna poziadavka",VLOOKUP(G68,MODULY_CBA!$B$3:$E$23,3,0),),)</f>
        <v>1.4</v>
      </c>
      <c r="N68" s="382">
        <f>IFERROR(IF(B68="funkcna poziadavka",VLOOKUP(G68,MODULY_CBA!$B$3:$E$23,2,0),),)</f>
        <v>0.6</v>
      </c>
      <c r="O68" s="381">
        <f t="shared" si="7"/>
        <v>4.279459459459459</v>
      </c>
      <c r="P68" s="380">
        <f>IFERROR(O68*VLOOKUP(G68,MODULY_CBA!$B$3:$F$23,5,0),)</f>
        <v>85.589189189189185</v>
      </c>
      <c r="Q68" s="482" t="str">
        <f>IFERROR(VLOOKUP(G68,MODULY_CBA!$B$3:$I$23,6,0),"")</f>
        <v>Inkrement 1</v>
      </c>
      <c r="R68" s="387" t="s">
        <v>166</v>
      </c>
      <c r="S68" s="387" t="s">
        <v>1095</v>
      </c>
      <c r="T68" s="385"/>
      <c r="U68" s="385"/>
      <c r="V68" s="385"/>
      <c r="W68" s="385"/>
      <c r="X68" s="385"/>
      <c r="Y68" s="385"/>
      <c r="Z68" s="385"/>
      <c r="AA68" s="385"/>
      <c r="AB68" s="385"/>
      <c r="AC68" s="385"/>
      <c r="AD68" s="385"/>
      <c r="AE68" s="385"/>
    </row>
    <row r="69" spans="1:31" ht="25.5">
      <c r="A69" s="404" t="s">
        <v>1025</v>
      </c>
      <c r="B69" s="404" t="s">
        <v>747</v>
      </c>
      <c r="C69" s="535" t="s">
        <v>1022</v>
      </c>
      <c r="D69" s="537" t="s">
        <v>1026</v>
      </c>
      <c r="E69" s="535" t="s">
        <v>1027</v>
      </c>
      <c r="F69" s="392" t="s">
        <v>815</v>
      </c>
      <c r="G69" s="392" t="s">
        <v>797</v>
      </c>
      <c r="H69" s="382">
        <v>1</v>
      </c>
      <c r="I69" s="382">
        <v>5</v>
      </c>
      <c r="J69" s="382">
        <f t="shared" si="6"/>
        <v>1</v>
      </c>
      <c r="K69" s="382">
        <f t="shared" si="8"/>
        <v>5</v>
      </c>
      <c r="L69" s="646">
        <f>IFERROR(IF(B69="funkcna poziadavka",VLOOKUP(G69,MODULY_CBA!$B$3:$E$23,4,0)*H69/SUMIFS($H$3:$H$199,$G$3:$G$199,G69,$B$3:$B$199,B69),),)</f>
        <v>9.45945945945946E-2</v>
      </c>
      <c r="M69" s="382">
        <f>IFERROR(IF(B69="Funkcna poziadavka",VLOOKUP(G69,MODULY_CBA!$B$3:$E$23,3,0),),)</f>
        <v>1.4</v>
      </c>
      <c r="N69" s="382">
        <f>IFERROR(IF(B69="funkcna poziadavka",VLOOKUP(G69,MODULY_CBA!$B$3:$E$23,2,0),),)</f>
        <v>0.6</v>
      </c>
      <c r="O69" s="381">
        <f t="shared" si="7"/>
        <v>4.279459459459459</v>
      </c>
      <c r="P69" s="380">
        <f>IFERROR(O69*VLOOKUP(G69,MODULY_CBA!$B$3:$F$23,5,0),)</f>
        <v>85.589189189189185</v>
      </c>
      <c r="Q69" s="482" t="str">
        <f>IFERROR(VLOOKUP(G69,MODULY_CBA!$B$3:$I$23,6,0),"")</f>
        <v>Inkrement 1</v>
      </c>
      <c r="R69" s="387" t="s">
        <v>166</v>
      </c>
      <c r="S69" s="387" t="s">
        <v>1095</v>
      </c>
      <c r="T69" s="385"/>
      <c r="U69" s="385"/>
      <c r="V69" s="385"/>
      <c r="W69" s="385"/>
      <c r="X69" s="385"/>
      <c r="Y69" s="385"/>
      <c r="Z69" s="385"/>
      <c r="AA69" s="385"/>
      <c r="AB69" s="385"/>
      <c r="AC69" s="385"/>
      <c r="AD69" s="385"/>
      <c r="AE69" s="385"/>
    </row>
    <row r="70" spans="1:31" ht="25.5">
      <c r="A70" s="404" t="s">
        <v>1028</v>
      </c>
      <c r="B70" s="404" t="s">
        <v>747</v>
      </c>
      <c r="C70" s="535" t="s">
        <v>1022</v>
      </c>
      <c r="D70" s="537" t="s">
        <v>1029</v>
      </c>
      <c r="E70" s="535" t="s">
        <v>1030</v>
      </c>
      <c r="F70" s="392" t="s">
        <v>815</v>
      </c>
      <c r="G70" s="392" t="s">
        <v>797</v>
      </c>
      <c r="H70" s="382">
        <v>1</v>
      </c>
      <c r="I70" s="382">
        <v>5</v>
      </c>
      <c r="J70" s="382">
        <f t="shared" si="6"/>
        <v>1</v>
      </c>
      <c r="K70" s="382">
        <f t="shared" si="8"/>
        <v>5</v>
      </c>
      <c r="L70" s="646">
        <f>IFERROR(IF(B70="funkcna poziadavka",VLOOKUP(G70,MODULY_CBA!$B$3:$E$23,4,0)*H70/SUMIFS($H$3:$H$199,$G$3:$G$199,G70,$B$3:$B$199,B70),),)</f>
        <v>9.45945945945946E-2</v>
      </c>
      <c r="M70" s="382">
        <f>IFERROR(IF(B70="Funkcna poziadavka",VLOOKUP(G70,MODULY_CBA!$B$3:$E$23,3,0),),)</f>
        <v>1.4</v>
      </c>
      <c r="N70" s="382">
        <f>IFERROR(IF(B70="funkcna poziadavka",VLOOKUP(G70,MODULY_CBA!$B$3:$E$23,2,0),),)</f>
        <v>0.6</v>
      </c>
      <c r="O70" s="381">
        <f t="shared" si="7"/>
        <v>4.279459459459459</v>
      </c>
      <c r="P70" s="380">
        <f>IFERROR(O70*VLOOKUP(G70,MODULY_CBA!$B$3:$F$23,5,0),)</f>
        <v>85.589189189189185</v>
      </c>
      <c r="Q70" s="482" t="str">
        <f>IFERROR(VLOOKUP(G70,MODULY_CBA!$B$3:$I$23,6,0),"")</f>
        <v>Inkrement 1</v>
      </c>
      <c r="R70" s="387" t="s">
        <v>166</v>
      </c>
      <c r="S70" s="387" t="s">
        <v>1095</v>
      </c>
      <c r="T70" s="385"/>
      <c r="U70" s="385"/>
      <c r="V70" s="385"/>
      <c r="W70" s="385"/>
      <c r="X70" s="385"/>
      <c r="Y70" s="385"/>
      <c r="Z70" s="385"/>
      <c r="AA70" s="385"/>
      <c r="AB70" s="385"/>
      <c r="AC70" s="385"/>
      <c r="AD70" s="385"/>
      <c r="AE70" s="385"/>
    </row>
    <row r="71" spans="1:31" ht="25.5">
      <c r="A71" s="404" t="s">
        <v>1031</v>
      </c>
      <c r="B71" s="404" t="s">
        <v>747</v>
      </c>
      <c r="C71" s="535" t="s">
        <v>1022</v>
      </c>
      <c r="D71" s="537" t="s">
        <v>1032</v>
      </c>
      <c r="E71" s="535" t="s">
        <v>1033</v>
      </c>
      <c r="F71" s="392" t="s">
        <v>815</v>
      </c>
      <c r="G71" s="392" t="s">
        <v>797</v>
      </c>
      <c r="H71" s="382">
        <v>1</v>
      </c>
      <c r="I71" s="382">
        <v>5</v>
      </c>
      <c r="J71" s="382">
        <f t="shared" si="6"/>
        <v>1</v>
      </c>
      <c r="K71" s="382">
        <f t="shared" si="8"/>
        <v>5</v>
      </c>
      <c r="L71" s="646">
        <f>IFERROR(IF(B71="funkcna poziadavka",VLOOKUP(G71,MODULY_CBA!$B$3:$E$23,4,0)*H71/SUMIFS($H$3:$H$199,$G$3:$G$199,G71,$B$3:$B$199,B71),),)</f>
        <v>9.45945945945946E-2</v>
      </c>
      <c r="M71" s="382">
        <f>IFERROR(IF(B71="Funkcna poziadavka",VLOOKUP(G71,MODULY_CBA!$B$3:$E$23,3,0),),)</f>
        <v>1.4</v>
      </c>
      <c r="N71" s="382">
        <f>IFERROR(IF(B71="funkcna poziadavka",VLOOKUP(G71,MODULY_CBA!$B$3:$E$23,2,0),),)</f>
        <v>0.6</v>
      </c>
      <c r="O71" s="381">
        <f t="shared" si="7"/>
        <v>4.279459459459459</v>
      </c>
      <c r="P71" s="380">
        <f>IFERROR(O71*VLOOKUP(G71,MODULY_CBA!$B$3:$F$23,5,0),)</f>
        <v>85.589189189189185</v>
      </c>
      <c r="Q71" s="482" t="str">
        <f>IFERROR(VLOOKUP(G71,MODULY_CBA!$B$3:$I$23,6,0),"")</f>
        <v>Inkrement 1</v>
      </c>
      <c r="R71" s="387" t="s">
        <v>166</v>
      </c>
      <c r="S71" s="387" t="s">
        <v>1095</v>
      </c>
      <c r="T71" s="385"/>
      <c r="U71" s="385"/>
      <c r="V71" s="385"/>
      <c r="W71" s="385"/>
      <c r="X71" s="385"/>
      <c r="Y71" s="385"/>
      <c r="Z71" s="385"/>
      <c r="AA71" s="385"/>
      <c r="AB71" s="385"/>
      <c r="AC71" s="385"/>
      <c r="AD71" s="385"/>
      <c r="AE71" s="385"/>
    </row>
    <row r="72" spans="1:31" ht="25.5">
      <c r="A72" s="404" t="s">
        <v>1034</v>
      </c>
      <c r="B72" s="404" t="s">
        <v>747</v>
      </c>
      <c r="C72" s="535" t="s">
        <v>1022</v>
      </c>
      <c r="D72" s="537" t="s">
        <v>1035</v>
      </c>
      <c r="E72" s="535" t="s">
        <v>1036</v>
      </c>
      <c r="F72" s="392" t="s">
        <v>815</v>
      </c>
      <c r="G72" s="392" t="s">
        <v>797</v>
      </c>
      <c r="H72" s="382">
        <v>1</v>
      </c>
      <c r="I72" s="382">
        <v>5</v>
      </c>
      <c r="J72" s="382">
        <f t="shared" si="6"/>
        <v>1</v>
      </c>
      <c r="K72" s="382">
        <f t="shared" si="8"/>
        <v>5</v>
      </c>
      <c r="L72" s="646">
        <f>IFERROR(IF(B72="funkcna poziadavka",VLOOKUP(G72,MODULY_CBA!$B$3:$E$23,4,0)*H72/SUMIFS($H$3:$H$199,$G$3:$G$199,G72,$B$3:$B$199,B72),),)</f>
        <v>9.45945945945946E-2</v>
      </c>
      <c r="M72" s="382">
        <f>IFERROR(IF(B72="Funkcna poziadavka",VLOOKUP(G72,MODULY_CBA!$B$3:$E$23,3,0),),)</f>
        <v>1.4</v>
      </c>
      <c r="N72" s="382">
        <f>IFERROR(IF(B72="funkcna poziadavka",VLOOKUP(G72,MODULY_CBA!$B$3:$E$23,2,0),),)</f>
        <v>0.6</v>
      </c>
      <c r="O72" s="381">
        <f t="shared" si="7"/>
        <v>4.279459459459459</v>
      </c>
      <c r="P72" s="380">
        <f>IFERROR(O72*VLOOKUP(G72,MODULY_CBA!$B$3:$F$23,5,0),)</f>
        <v>85.589189189189185</v>
      </c>
      <c r="Q72" s="482" t="str">
        <f>IFERROR(VLOOKUP(G72,MODULY_CBA!$B$3:$I$23,6,0),"")</f>
        <v>Inkrement 1</v>
      </c>
      <c r="R72" s="387" t="s">
        <v>166</v>
      </c>
      <c r="S72" s="387" t="s">
        <v>1095</v>
      </c>
      <c r="T72" s="385"/>
      <c r="U72" s="385"/>
      <c r="V72" s="385"/>
      <c r="W72" s="385"/>
      <c r="X72" s="385"/>
      <c r="Y72" s="385"/>
      <c r="Z72" s="385"/>
      <c r="AA72" s="385"/>
      <c r="AB72" s="385"/>
      <c r="AC72" s="385"/>
      <c r="AD72" s="385"/>
      <c r="AE72" s="385"/>
    </row>
    <row r="73" spans="1:31" ht="25.5">
      <c r="A73" s="404" t="s">
        <v>1037</v>
      </c>
      <c r="B73" s="404" t="s">
        <v>747</v>
      </c>
      <c r="C73" s="535" t="s">
        <v>1022</v>
      </c>
      <c r="D73" s="537" t="s">
        <v>1038</v>
      </c>
      <c r="E73" s="535" t="s">
        <v>1039</v>
      </c>
      <c r="F73" s="392" t="s">
        <v>815</v>
      </c>
      <c r="G73" s="392" t="s">
        <v>797</v>
      </c>
      <c r="H73" s="382">
        <v>1</v>
      </c>
      <c r="I73" s="382">
        <v>5</v>
      </c>
      <c r="J73" s="382">
        <f t="shared" si="6"/>
        <v>1</v>
      </c>
      <c r="K73" s="382">
        <f t="shared" si="8"/>
        <v>5</v>
      </c>
      <c r="L73" s="646">
        <f>IFERROR(IF(B73="funkcna poziadavka",VLOOKUP(G73,MODULY_CBA!$B$3:$E$23,4,0)*H73/SUMIFS($H$3:$H$199,$G$3:$G$199,G73,$B$3:$B$199,B73),),)</f>
        <v>9.45945945945946E-2</v>
      </c>
      <c r="M73" s="382">
        <f>IFERROR(IF(B73="Funkcna poziadavka",VLOOKUP(G73,MODULY_CBA!$B$3:$E$23,3,0),),)</f>
        <v>1.4</v>
      </c>
      <c r="N73" s="382">
        <f>IFERROR(IF(B73="funkcna poziadavka",VLOOKUP(G73,MODULY_CBA!$B$3:$E$23,2,0),),)</f>
        <v>0.6</v>
      </c>
      <c r="O73" s="381">
        <f t="shared" si="7"/>
        <v>4.279459459459459</v>
      </c>
      <c r="P73" s="380">
        <f>IFERROR(O73*VLOOKUP(G73,MODULY_CBA!$B$3:$F$23,5,0),)</f>
        <v>85.589189189189185</v>
      </c>
      <c r="Q73" s="482" t="str">
        <f>IFERROR(VLOOKUP(G73,MODULY_CBA!$B$3:$I$23,6,0),"")</f>
        <v>Inkrement 1</v>
      </c>
      <c r="R73" s="387" t="s">
        <v>166</v>
      </c>
      <c r="S73" s="387" t="s">
        <v>1095</v>
      </c>
      <c r="T73" s="385"/>
      <c r="U73" s="385"/>
      <c r="V73" s="385"/>
      <c r="W73" s="385"/>
      <c r="X73" s="385"/>
      <c r="Y73" s="385"/>
      <c r="Z73" s="385"/>
      <c r="AA73" s="385"/>
      <c r="AB73" s="385"/>
      <c r="AC73" s="385"/>
      <c r="AD73" s="385"/>
      <c r="AE73" s="385"/>
    </row>
    <row r="74" spans="1:31" ht="25.5">
      <c r="A74" s="404" t="s">
        <v>1040</v>
      </c>
      <c r="B74" s="404" t="s">
        <v>747</v>
      </c>
      <c r="C74" s="535" t="s">
        <v>1022</v>
      </c>
      <c r="D74" s="537" t="s">
        <v>1013</v>
      </c>
      <c r="E74" s="537" t="s">
        <v>1041</v>
      </c>
      <c r="F74" s="392" t="s">
        <v>815</v>
      </c>
      <c r="G74" s="392" t="s">
        <v>797</v>
      </c>
      <c r="H74" s="382">
        <v>1</v>
      </c>
      <c r="I74" s="382">
        <v>5</v>
      </c>
      <c r="J74" s="382">
        <f t="shared" si="6"/>
        <v>1</v>
      </c>
      <c r="K74" s="382">
        <f t="shared" si="8"/>
        <v>5</v>
      </c>
      <c r="L74" s="646">
        <f>IFERROR(IF(B74="funkcna poziadavka",VLOOKUP(G74,MODULY_CBA!$B$3:$E$23,4,0)*H74/SUMIFS($H$3:$H$199,$G$3:$G$199,G74,$B$3:$B$199,B74),),)</f>
        <v>9.45945945945946E-2</v>
      </c>
      <c r="M74" s="382">
        <f>IFERROR(IF(B74="Funkcna poziadavka",VLOOKUP(G74,MODULY_CBA!$B$3:$E$23,3,0),),)</f>
        <v>1.4</v>
      </c>
      <c r="N74" s="382">
        <f>IFERROR(IF(B74="funkcna poziadavka",VLOOKUP(G74,MODULY_CBA!$B$3:$E$23,2,0),),)</f>
        <v>0.6</v>
      </c>
      <c r="O74" s="381">
        <f t="shared" si="7"/>
        <v>4.279459459459459</v>
      </c>
      <c r="P74" s="380">
        <f>IFERROR(O74*VLOOKUP(G74,MODULY_CBA!$B$3:$F$23,5,0),)</f>
        <v>85.589189189189185</v>
      </c>
      <c r="Q74" s="482" t="str">
        <f>IFERROR(VLOOKUP(G74,MODULY_CBA!$B$3:$I$23,6,0),"")</f>
        <v>Inkrement 1</v>
      </c>
      <c r="R74" s="387" t="s">
        <v>166</v>
      </c>
      <c r="S74" s="387" t="s">
        <v>1095</v>
      </c>
      <c r="T74" s="385"/>
      <c r="U74" s="385"/>
      <c r="V74" s="385"/>
      <c r="W74" s="385"/>
      <c r="X74" s="385"/>
      <c r="Y74" s="385"/>
      <c r="Z74" s="385"/>
      <c r="AA74" s="385"/>
      <c r="AB74" s="385"/>
      <c r="AC74" s="385"/>
      <c r="AD74" s="385"/>
      <c r="AE74" s="385"/>
    </row>
    <row r="75" spans="1:31" ht="25.5">
      <c r="A75" s="404" t="s">
        <v>1042</v>
      </c>
      <c r="B75" s="404" t="s">
        <v>747</v>
      </c>
      <c r="C75" s="535" t="s">
        <v>1043</v>
      </c>
      <c r="D75" s="537" t="s">
        <v>1044</v>
      </c>
      <c r="E75" s="535" t="s">
        <v>1045</v>
      </c>
      <c r="F75" s="392" t="s">
        <v>815</v>
      </c>
      <c r="G75" s="392" t="s">
        <v>797</v>
      </c>
      <c r="H75" s="382">
        <v>1</v>
      </c>
      <c r="I75" s="382">
        <v>5</v>
      </c>
      <c r="J75" s="382">
        <f t="shared" si="6"/>
        <v>1</v>
      </c>
      <c r="K75" s="382">
        <f t="shared" si="8"/>
        <v>5</v>
      </c>
      <c r="L75" s="646">
        <f>IFERROR(IF(B75="funkcna poziadavka",VLOOKUP(G75,MODULY_CBA!$B$3:$E$23,4,0)*H75/SUMIFS($H$3:$H$199,$G$3:$G$199,G75,$B$3:$B$199,B75),),)</f>
        <v>9.45945945945946E-2</v>
      </c>
      <c r="M75" s="382">
        <f>IFERROR(IF(B75="Funkcna poziadavka",VLOOKUP(G75,MODULY_CBA!$B$3:$E$23,3,0),),)</f>
        <v>1.4</v>
      </c>
      <c r="N75" s="382">
        <f>IFERROR(IF(B75="funkcna poziadavka",VLOOKUP(G75,MODULY_CBA!$B$3:$E$23,2,0),),)</f>
        <v>0.6</v>
      </c>
      <c r="O75" s="381">
        <f t="shared" si="7"/>
        <v>4.279459459459459</v>
      </c>
      <c r="P75" s="380">
        <f>IFERROR(O75*VLOOKUP(G75,MODULY_CBA!$B$3:$F$23,5,0),)</f>
        <v>85.589189189189185</v>
      </c>
      <c r="Q75" s="482" t="str">
        <f>IFERROR(VLOOKUP(G75,MODULY_CBA!$B$3:$I$23,6,0),"")</f>
        <v>Inkrement 1</v>
      </c>
      <c r="R75" s="387" t="s">
        <v>166</v>
      </c>
      <c r="S75" s="387" t="s">
        <v>1095</v>
      </c>
      <c r="T75" s="385"/>
      <c r="U75" s="385"/>
      <c r="V75" s="385"/>
      <c r="W75" s="385"/>
      <c r="X75" s="385"/>
      <c r="Y75" s="385"/>
      <c r="Z75" s="385"/>
      <c r="AA75" s="385"/>
      <c r="AB75" s="385"/>
      <c r="AC75" s="385"/>
      <c r="AD75" s="385"/>
      <c r="AE75" s="385"/>
    </row>
    <row r="76" spans="1:31" ht="25.5">
      <c r="A76" s="404" t="s">
        <v>1046</v>
      </c>
      <c r="B76" s="404" t="s">
        <v>747</v>
      </c>
      <c r="C76" s="535" t="s">
        <v>1043</v>
      </c>
      <c r="D76" s="537" t="s">
        <v>1047</v>
      </c>
      <c r="E76" s="535" t="s">
        <v>1048</v>
      </c>
      <c r="F76" s="392" t="s">
        <v>815</v>
      </c>
      <c r="G76" s="392" t="s">
        <v>797</v>
      </c>
      <c r="H76" s="382">
        <v>1</v>
      </c>
      <c r="I76" s="382">
        <v>5</v>
      </c>
      <c r="J76" s="382">
        <f t="shared" si="6"/>
        <v>1</v>
      </c>
      <c r="K76" s="382">
        <f t="shared" si="8"/>
        <v>5</v>
      </c>
      <c r="L76" s="646">
        <f>IFERROR(IF(B76="funkcna poziadavka",VLOOKUP(G76,MODULY_CBA!$B$3:$E$23,4,0)*H76/SUMIFS($H$3:$H$199,$G$3:$G$199,G76,$B$3:$B$199,B76),),)</f>
        <v>9.45945945945946E-2</v>
      </c>
      <c r="M76" s="382">
        <f>IFERROR(IF(B76="Funkcna poziadavka",VLOOKUP(G76,MODULY_CBA!$B$3:$E$23,3,0),),)</f>
        <v>1.4</v>
      </c>
      <c r="N76" s="382">
        <f>IFERROR(IF(B76="funkcna poziadavka",VLOOKUP(G76,MODULY_CBA!$B$3:$E$23,2,0),),)</f>
        <v>0.6</v>
      </c>
      <c r="O76" s="381">
        <f t="shared" si="7"/>
        <v>4.279459459459459</v>
      </c>
      <c r="P76" s="380">
        <f>IFERROR(O76*VLOOKUP(G76,MODULY_CBA!$B$3:$F$23,5,0),)</f>
        <v>85.589189189189185</v>
      </c>
      <c r="Q76" s="482" t="str">
        <f>IFERROR(VLOOKUP(G76,MODULY_CBA!$B$3:$I$23,6,0),"")</f>
        <v>Inkrement 1</v>
      </c>
      <c r="R76" s="387" t="s">
        <v>166</v>
      </c>
      <c r="S76" s="387" t="s">
        <v>1095</v>
      </c>
      <c r="T76" s="385"/>
      <c r="U76" s="385"/>
      <c r="V76" s="385"/>
      <c r="W76" s="385"/>
      <c r="X76" s="385"/>
      <c r="Y76" s="385"/>
      <c r="Z76" s="385"/>
      <c r="AA76" s="385"/>
      <c r="AB76" s="385"/>
      <c r="AC76" s="385"/>
      <c r="AD76" s="385"/>
      <c r="AE76" s="385"/>
    </row>
    <row r="77" spans="1:31" ht="25.5">
      <c r="A77" s="404" t="s">
        <v>1049</v>
      </c>
      <c r="B77" s="404" t="s">
        <v>747</v>
      </c>
      <c r="C77" s="535" t="s">
        <v>1050</v>
      </c>
      <c r="D77" s="536" t="s">
        <v>1051</v>
      </c>
      <c r="E77" s="536" t="s">
        <v>1052</v>
      </c>
      <c r="F77" s="392" t="s">
        <v>815</v>
      </c>
      <c r="G77" s="392" t="s">
        <v>796</v>
      </c>
      <c r="H77" s="382">
        <v>1</v>
      </c>
      <c r="I77" s="382">
        <v>5</v>
      </c>
      <c r="J77" s="382">
        <f t="shared" si="6"/>
        <v>1</v>
      </c>
      <c r="K77" s="382">
        <f t="shared" si="8"/>
        <v>5</v>
      </c>
      <c r="L77" s="646">
        <f>IFERROR(IF(B77="funkcna poziadavka",VLOOKUP(G77,MODULY_CBA!$B$3:$E$23,4,0)*H77/SUMIFS($H$3:$H$199,$G$3:$G$199,G77,$B$3:$B$199,B77),),)</f>
        <v>0.5</v>
      </c>
      <c r="M77" s="382">
        <f>IFERROR(IF(B77="Funkcna poziadavka",VLOOKUP(G77,MODULY_CBA!$B$3:$E$23,3,0),),)</f>
        <v>1.4</v>
      </c>
      <c r="N77" s="382">
        <f>IFERROR(IF(B77="funkcna poziadavka",VLOOKUP(G77,MODULY_CBA!$B$3:$E$23,2,0),),)</f>
        <v>0.6</v>
      </c>
      <c r="O77" s="381">
        <f t="shared" si="7"/>
        <v>4.6199999999999992</v>
      </c>
      <c r="P77" s="380">
        <f>IFERROR(O77*VLOOKUP(G77,MODULY_CBA!$B$3:$F$23,5,0),)</f>
        <v>92.399999999999977</v>
      </c>
      <c r="Q77" s="482" t="str">
        <f>IFERROR(VLOOKUP(G77,MODULY_CBA!$B$3:$I$23,6,0),"")</f>
        <v>Inkrement 1</v>
      </c>
      <c r="R77" s="387" t="s">
        <v>166</v>
      </c>
      <c r="S77" s="387" t="s">
        <v>1095</v>
      </c>
      <c r="T77" s="385"/>
      <c r="U77" s="385"/>
      <c r="V77" s="385"/>
      <c r="W77" s="385"/>
      <c r="X77" s="385"/>
      <c r="Y77" s="385"/>
      <c r="Z77" s="385"/>
      <c r="AA77" s="385"/>
      <c r="AB77" s="385"/>
      <c r="AC77" s="385"/>
      <c r="AD77" s="385"/>
      <c r="AE77" s="385"/>
    </row>
    <row r="78" spans="1:31" ht="25.5">
      <c r="A78" s="404" t="s">
        <v>1053</v>
      </c>
      <c r="B78" s="404" t="s">
        <v>747</v>
      </c>
      <c r="C78" s="535" t="s">
        <v>1050</v>
      </c>
      <c r="D78" s="536" t="s">
        <v>1054</v>
      </c>
      <c r="E78" s="536" t="s">
        <v>1055</v>
      </c>
      <c r="F78" s="392" t="s">
        <v>815</v>
      </c>
      <c r="G78" s="392" t="s">
        <v>796</v>
      </c>
      <c r="H78" s="382">
        <v>1</v>
      </c>
      <c r="I78" s="382">
        <v>5</v>
      </c>
      <c r="J78" s="382">
        <f t="shared" si="6"/>
        <v>1</v>
      </c>
      <c r="K78" s="382">
        <f t="shared" si="8"/>
        <v>5</v>
      </c>
      <c r="L78" s="646">
        <f>IFERROR(IF(B78="funkcna poziadavka",VLOOKUP(G78,MODULY_CBA!$B$3:$E$23,4,0)*H78/SUMIFS($H$3:$H$199,$G$3:$G$199,G78,$B$3:$B$199,B78),),)</f>
        <v>0.5</v>
      </c>
      <c r="M78" s="382">
        <f>IFERROR(IF(B78="Funkcna poziadavka",VLOOKUP(G78,MODULY_CBA!$B$3:$E$23,3,0),),)</f>
        <v>1.4</v>
      </c>
      <c r="N78" s="382">
        <f>IFERROR(IF(B78="funkcna poziadavka",VLOOKUP(G78,MODULY_CBA!$B$3:$E$23,2,0),),)</f>
        <v>0.6</v>
      </c>
      <c r="O78" s="381">
        <f t="shared" si="7"/>
        <v>4.6199999999999992</v>
      </c>
      <c r="P78" s="380">
        <f>IFERROR(O78*VLOOKUP(G78,MODULY_CBA!$B$3:$F$23,5,0),)</f>
        <v>92.399999999999977</v>
      </c>
      <c r="Q78" s="482" t="str">
        <f>IFERROR(VLOOKUP(G78,MODULY_CBA!$B$3:$I$23,6,0),"")</f>
        <v>Inkrement 1</v>
      </c>
      <c r="R78" s="387" t="s">
        <v>166</v>
      </c>
      <c r="S78" s="387" t="s">
        <v>1095</v>
      </c>
      <c r="T78" s="385"/>
      <c r="U78" s="385"/>
      <c r="V78" s="385"/>
      <c r="W78" s="385"/>
      <c r="X78" s="385"/>
      <c r="Y78" s="385"/>
      <c r="Z78" s="385"/>
      <c r="AA78" s="385"/>
      <c r="AB78" s="385"/>
      <c r="AC78" s="385"/>
      <c r="AD78" s="385"/>
      <c r="AE78" s="385"/>
    </row>
    <row r="79" spans="1:31" ht="25.5">
      <c r="A79" s="404" t="s">
        <v>1056</v>
      </c>
      <c r="B79" s="404" t="s">
        <v>747</v>
      </c>
      <c r="C79" s="535" t="s">
        <v>1050</v>
      </c>
      <c r="D79" s="536" t="s">
        <v>1057</v>
      </c>
      <c r="E79" s="536" t="s">
        <v>1058</v>
      </c>
      <c r="F79" s="392" t="s">
        <v>815</v>
      </c>
      <c r="G79" s="392" t="s">
        <v>796</v>
      </c>
      <c r="H79" s="382">
        <v>1</v>
      </c>
      <c r="I79" s="382">
        <v>5</v>
      </c>
      <c r="J79" s="382">
        <f t="shared" si="6"/>
        <v>1</v>
      </c>
      <c r="K79" s="382">
        <f t="shared" si="8"/>
        <v>5</v>
      </c>
      <c r="L79" s="646">
        <f>IFERROR(IF(B79="funkcna poziadavka",VLOOKUP(G79,MODULY_CBA!$B$3:$E$23,4,0)*H79/SUMIFS($H$3:$H$199,$G$3:$G$199,G79,$B$3:$B$199,B79),),)</f>
        <v>0.5</v>
      </c>
      <c r="M79" s="382">
        <f>IFERROR(IF(B79="Funkcna poziadavka",VLOOKUP(G79,MODULY_CBA!$B$3:$E$23,3,0),),)</f>
        <v>1.4</v>
      </c>
      <c r="N79" s="382">
        <f>IFERROR(IF(B79="funkcna poziadavka",VLOOKUP(G79,MODULY_CBA!$B$3:$E$23,2,0),),)</f>
        <v>0.6</v>
      </c>
      <c r="O79" s="381">
        <f t="shared" si="7"/>
        <v>4.6199999999999992</v>
      </c>
      <c r="P79" s="380">
        <f>IFERROR(O79*VLOOKUP(G79,MODULY_CBA!$B$3:$F$23,5,0),)</f>
        <v>92.399999999999977</v>
      </c>
      <c r="Q79" s="482" t="str">
        <f>IFERROR(VLOOKUP(G79,MODULY_CBA!$B$3:$I$23,6,0),"")</f>
        <v>Inkrement 1</v>
      </c>
      <c r="R79" s="387" t="s">
        <v>166</v>
      </c>
      <c r="S79" s="387" t="s">
        <v>1095</v>
      </c>
      <c r="T79" s="385"/>
      <c r="U79" s="385"/>
      <c r="V79" s="385"/>
      <c r="W79" s="385"/>
      <c r="X79" s="385"/>
      <c r="Y79" s="385"/>
      <c r="Z79" s="385"/>
      <c r="AA79" s="385"/>
      <c r="AB79" s="385"/>
      <c r="AC79" s="385"/>
      <c r="AD79" s="385"/>
      <c r="AE79" s="385"/>
    </row>
    <row r="80" spans="1:31" ht="25.5">
      <c r="A80" s="404" t="s">
        <v>1059</v>
      </c>
      <c r="B80" s="404" t="s">
        <v>747</v>
      </c>
      <c r="C80" s="535" t="s">
        <v>1050</v>
      </c>
      <c r="D80" s="536" t="s">
        <v>1050</v>
      </c>
      <c r="E80" s="536" t="s">
        <v>1060</v>
      </c>
      <c r="F80" s="392" t="s">
        <v>815</v>
      </c>
      <c r="G80" s="392" t="s">
        <v>796</v>
      </c>
      <c r="H80" s="382">
        <v>1</v>
      </c>
      <c r="I80" s="382">
        <v>5</v>
      </c>
      <c r="J80" s="382">
        <f t="shared" si="6"/>
        <v>1</v>
      </c>
      <c r="K80" s="382">
        <f t="shared" si="8"/>
        <v>5</v>
      </c>
      <c r="L80" s="646">
        <f>IFERROR(IF(B80="funkcna poziadavka",VLOOKUP(G80,MODULY_CBA!$B$3:$E$23,4,0)*H80/SUMIFS($H$3:$H$199,$G$3:$G$199,G80,$B$3:$B$199,B80),),)</f>
        <v>0.5</v>
      </c>
      <c r="M80" s="382">
        <f>IFERROR(IF(B80="Funkcna poziadavka",VLOOKUP(G80,MODULY_CBA!$B$3:$E$23,3,0),),)</f>
        <v>1.4</v>
      </c>
      <c r="N80" s="382">
        <f>IFERROR(IF(B80="funkcna poziadavka",VLOOKUP(G80,MODULY_CBA!$B$3:$E$23,2,0),),)</f>
        <v>0.6</v>
      </c>
      <c r="O80" s="381">
        <f t="shared" si="7"/>
        <v>4.6199999999999992</v>
      </c>
      <c r="P80" s="380">
        <f>IFERROR(O80*VLOOKUP(G80,MODULY_CBA!$B$3:$F$23,5,0),)</f>
        <v>92.399999999999977</v>
      </c>
      <c r="Q80" s="482" t="str">
        <f>IFERROR(VLOOKUP(G80,MODULY_CBA!$B$3:$I$23,6,0),"")</f>
        <v>Inkrement 1</v>
      </c>
      <c r="R80" s="387" t="s">
        <v>166</v>
      </c>
      <c r="S80" s="387" t="s">
        <v>1095</v>
      </c>
      <c r="T80" s="385"/>
      <c r="U80" s="385"/>
      <c r="V80" s="385"/>
      <c r="W80" s="385"/>
      <c r="X80" s="385"/>
      <c r="Y80" s="385"/>
      <c r="Z80" s="385"/>
      <c r="AA80" s="385"/>
      <c r="AB80" s="385"/>
      <c r="AC80" s="385"/>
      <c r="AD80" s="385"/>
      <c r="AE80" s="385"/>
    </row>
    <row r="81" spans="1:31" ht="25.5">
      <c r="A81" s="404" t="s">
        <v>1061</v>
      </c>
      <c r="B81" s="404" t="s">
        <v>747</v>
      </c>
      <c r="C81" s="535" t="s">
        <v>1050</v>
      </c>
      <c r="D81" s="536" t="s">
        <v>1062</v>
      </c>
      <c r="E81" s="536" t="s">
        <v>1063</v>
      </c>
      <c r="F81" s="392" t="s">
        <v>815</v>
      </c>
      <c r="G81" s="392" t="s">
        <v>796</v>
      </c>
      <c r="H81" s="382">
        <v>1</v>
      </c>
      <c r="I81" s="382">
        <v>5</v>
      </c>
      <c r="J81" s="382">
        <f t="shared" si="6"/>
        <v>1</v>
      </c>
      <c r="K81" s="382">
        <f t="shared" si="8"/>
        <v>5</v>
      </c>
      <c r="L81" s="646">
        <f>IFERROR(IF(B81="funkcna poziadavka",VLOOKUP(G81,MODULY_CBA!$B$3:$E$23,4,0)*H81/SUMIFS($H$3:$H$199,$G$3:$G$199,G81,$B$3:$B$199,B81),),)</f>
        <v>0.5</v>
      </c>
      <c r="M81" s="382">
        <f>IFERROR(IF(B81="Funkcna poziadavka",VLOOKUP(G81,MODULY_CBA!$B$3:$E$23,3,0),),)</f>
        <v>1.4</v>
      </c>
      <c r="N81" s="382">
        <f>IFERROR(IF(B81="funkcna poziadavka",VLOOKUP(G81,MODULY_CBA!$B$3:$E$23,2,0),),)</f>
        <v>0.6</v>
      </c>
      <c r="O81" s="381">
        <f t="shared" si="7"/>
        <v>4.6199999999999992</v>
      </c>
      <c r="P81" s="380">
        <f>IFERROR(O81*VLOOKUP(G81,MODULY_CBA!$B$3:$F$23,5,0),)</f>
        <v>92.399999999999977</v>
      </c>
      <c r="Q81" s="482" t="str">
        <f>IFERROR(VLOOKUP(G81,MODULY_CBA!$B$3:$I$23,6,0),"")</f>
        <v>Inkrement 1</v>
      </c>
      <c r="R81" s="387" t="s">
        <v>166</v>
      </c>
      <c r="S81" s="387" t="s">
        <v>1095</v>
      </c>
      <c r="T81" s="385"/>
      <c r="U81" s="385"/>
      <c r="V81" s="385"/>
      <c r="W81" s="385"/>
      <c r="X81" s="385"/>
      <c r="Y81" s="385"/>
      <c r="Z81" s="385"/>
      <c r="AA81" s="385"/>
      <c r="AB81" s="385"/>
      <c r="AC81" s="385"/>
      <c r="AD81" s="385"/>
      <c r="AE81" s="385"/>
    </row>
    <row r="82" spans="1:31">
      <c r="A82" s="404" t="s">
        <v>1064</v>
      </c>
      <c r="B82" s="404" t="s">
        <v>747</v>
      </c>
      <c r="C82" s="535" t="s">
        <v>1050</v>
      </c>
      <c r="D82" s="536" t="s">
        <v>1065</v>
      </c>
      <c r="E82" s="536" t="s">
        <v>1066</v>
      </c>
      <c r="F82" s="392" t="s">
        <v>815</v>
      </c>
      <c r="G82" s="392" t="s">
        <v>796</v>
      </c>
      <c r="H82" s="382">
        <v>1</v>
      </c>
      <c r="I82" s="382">
        <v>5</v>
      </c>
      <c r="J82" s="382">
        <f t="shared" si="6"/>
        <v>1</v>
      </c>
      <c r="K82" s="382">
        <f t="shared" si="8"/>
        <v>5</v>
      </c>
      <c r="L82" s="646">
        <f>IFERROR(IF(B82="funkcna poziadavka",VLOOKUP(G82,MODULY_CBA!$B$3:$E$23,4,0)*H82/SUMIFS($H$3:$H$199,$G$3:$G$199,G82,$B$3:$B$199,B82),),)</f>
        <v>0.5</v>
      </c>
      <c r="M82" s="382">
        <f>IFERROR(IF(B82="Funkcna poziadavka",VLOOKUP(G82,MODULY_CBA!$B$3:$E$23,3,0),),)</f>
        <v>1.4</v>
      </c>
      <c r="N82" s="382">
        <f>IFERROR(IF(B82="funkcna poziadavka",VLOOKUP(G82,MODULY_CBA!$B$3:$E$23,2,0),),)</f>
        <v>0.6</v>
      </c>
      <c r="O82" s="381">
        <f t="shared" si="7"/>
        <v>4.6199999999999992</v>
      </c>
      <c r="P82" s="380">
        <f>IFERROR(O82*VLOOKUP(G82,MODULY_CBA!$B$3:$F$23,5,0),)</f>
        <v>92.399999999999977</v>
      </c>
      <c r="Q82" s="482" t="str">
        <f>IFERROR(VLOOKUP(G82,MODULY_CBA!$B$3:$I$23,6,0),"")</f>
        <v>Inkrement 1</v>
      </c>
      <c r="R82" s="387" t="s">
        <v>166</v>
      </c>
      <c r="S82" s="387" t="s">
        <v>1095</v>
      </c>
      <c r="T82" s="385"/>
      <c r="U82" s="385"/>
      <c r="V82" s="385"/>
      <c r="W82" s="385"/>
      <c r="X82" s="385"/>
      <c r="Y82" s="385"/>
      <c r="Z82" s="385"/>
      <c r="AA82" s="385"/>
      <c r="AB82" s="385"/>
      <c r="AC82" s="385"/>
      <c r="AD82" s="385"/>
      <c r="AE82" s="385"/>
    </row>
    <row r="83" spans="1:31" ht="51">
      <c r="A83" s="404" t="s">
        <v>1067</v>
      </c>
      <c r="B83" s="404" t="s">
        <v>747</v>
      </c>
      <c r="C83" s="535" t="s">
        <v>1050</v>
      </c>
      <c r="D83" s="536" t="s">
        <v>1068</v>
      </c>
      <c r="E83" s="536" t="s">
        <v>1069</v>
      </c>
      <c r="F83" s="392" t="s">
        <v>815</v>
      </c>
      <c r="G83" s="392" t="s">
        <v>796</v>
      </c>
      <c r="H83" s="382">
        <v>1</v>
      </c>
      <c r="I83" s="382">
        <v>5</v>
      </c>
      <c r="J83" s="382">
        <f t="shared" si="6"/>
        <v>1</v>
      </c>
      <c r="K83" s="382">
        <f t="shared" si="8"/>
        <v>5</v>
      </c>
      <c r="L83" s="646">
        <f>IFERROR(IF(B83="funkcna poziadavka",VLOOKUP(G83,MODULY_CBA!$B$3:$E$23,4,0)*H83/SUMIFS($H$3:$H$199,$G$3:$G$199,G83,$B$3:$B$199,B83),),)</f>
        <v>0.5</v>
      </c>
      <c r="M83" s="382">
        <f>IFERROR(IF(B83="Funkcna poziadavka",VLOOKUP(G83,MODULY_CBA!$B$3:$E$23,3,0),),)</f>
        <v>1.4</v>
      </c>
      <c r="N83" s="382">
        <f>IFERROR(IF(B83="funkcna poziadavka",VLOOKUP(G83,MODULY_CBA!$B$3:$E$23,2,0),),)</f>
        <v>0.6</v>
      </c>
      <c r="O83" s="381">
        <f t="shared" si="7"/>
        <v>4.6199999999999992</v>
      </c>
      <c r="P83" s="380">
        <f>IFERROR(O83*VLOOKUP(G83,MODULY_CBA!$B$3:$F$23,5,0),)</f>
        <v>92.399999999999977</v>
      </c>
      <c r="Q83" s="482" t="str">
        <f>IFERROR(VLOOKUP(G83,MODULY_CBA!$B$3:$I$23,6,0),"")</f>
        <v>Inkrement 1</v>
      </c>
      <c r="R83" s="387" t="s">
        <v>166</v>
      </c>
      <c r="S83" s="387" t="s">
        <v>1095</v>
      </c>
      <c r="T83" s="393"/>
      <c r="U83" s="393"/>
      <c r="V83" s="393"/>
      <c r="W83" s="393"/>
      <c r="X83" s="393"/>
      <c r="Y83" s="393"/>
      <c r="Z83" s="393"/>
      <c r="AA83" s="393"/>
      <c r="AB83" s="393"/>
      <c r="AC83" s="393"/>
      <c r="AD83" s="393"/>
      <c r="AE83" s="393"/>
    </row>
    <row r="84" spans="1:31" ht="25.5">
      <c r="A84" s="404" t="s">
        <v>1070</v>
      </c>
      <c r="B84" s="404" t="s">
        <v>747</v>
      </c>
      <c r="C84" s="535" t="s">
        <v>1071</v>
      </c>
      <c r="D84" s="536" t="s">
        <v>1072</v>
      </c>
      <c r="E84" s="536" t="s">
        <v>1073</v>
      </c>
      <c r="F84" s="392" t="s">
        <v>815</v>
      </c>
      <c r="G84" s="392" t="s">
        <v>796</v>
      </c>
      <c r="H84" s="382">
        <v>1</v>
      </c>
      <c r="I84" s="382">
        <v>5</v>
      </c>
      <c r="J84" s="382">
        <f t="shared" si="6"/>
        <v>1</v>
      </c>
      <c r="K84" s="382">
        <f t="shared" si="8"/>
        <v>5</v>
      </c>
      <c r="L84" s="646">
        <f>IFERROR(IF(B84="funkcna poziadavka",VLOOKUP(G84,MODULY_CBA!$B$3:$E$23,4,0)*H84/SUMIFS($H$3:$H$199,$G$3:$G$199,G84,$B$3:$B$199,B84),),)</f>
        <v>0.5</v>
      </c>
      <c r="M84" s="382">
        <f>IFERROR(IF(B84="Funkcna poziadavka",VLOOKUP(G84,MODULY_CBA!$B$3:$E$23,3,0),),)</f>
        <v>1.4</v>
      </c>
      <c r="N84" s="382">
        <f>IFERROR(IF(B84="funkcna poziadavka",VLOOKUP(G84,MODULY_CBA!$B$3:$E$23,2,0),),)</f>
        <v>0.6</v>
      </c>
      <c r="O84" s="381">
        <f t="shared" si="7"/>
        <v>4.6199999999999992</v>
      </c>
      <c r="P84" s="380">
        <f>IFERROR(O84*VLOOKUP(G84,MODULY_CBA!$B$3:$F$23,5,0),)</f>
        <v>92.399999999999977</v>
      </c>
      <c r="Q84" s="482" t="str">
        <f>IFERROR(VLOOKUP(G84,MODULY_CBA!$B$3:$I$23,6,0),"")</f>
        <v>Inkrement 1</v>
      </c>
      <c r="R84" s="387" t="s">
        <v>166</v>
      </c>
      <c r="S84" s="387" t="s">
        <v>1095</v>
      </c>
      <c r="T84" s="393"/>
      <c r="U84" s="393"/>
      <c r="V84" s="393"/>
      <c r="W84" s="393"/>
      <c r="X84" s="393"/>
      <c r="Y84" s="393"/>
      <c r="Z84" s="393"/>
      <c r="AA84" s="393"/>
      <c r="AB84" s="393"/>
      <c r="AC84" s="393"/>
      <c r="AD84" s="393"/>
      <c r="AE84" s="393"/>
    </row>
    <row r="85" spans="1:31" ht="25.5">
      <c r="A85" s="404" t="s">
        <v>1074</v>
      </c>
      <c r="B85" s="404" t="s">
        <v>747</v>
      </c>
      <c r="C85" s="535" t="s">
        <v>1071</v>
      </c>
      <c r="D85" s="536" t="s">
        <v>1075</v>
      </c>
      <c r="E85" s="536" t="s">
        <v>1076</v>
      </c>
      <c r="F85" s="392" t="s">
        <v>815</v>
      </c>
      <c r="G85" s="392" t="s">
        <v>796</v>
      </c>
      <c r="H85" s="382">
        <v>1</v>
      </c>
      <c r="I85" s="382">
        <v>5</v>
      </c>
      <c r="J85" s="382">
        <f t="shared" si="6"/>
        <v>1</v>
      </c>
      <c r="K85" s="382">
        <f t="shared" si="8"/>
        <v>5</v>
      </c>
      <c r="L85" s="646">
        <f>IFERROR(IF(B85="funkcna poziadavka",VLOOKUP(G85,MODULY_CBA!$B$3:$E$23,4,0)*H85/SUMIFS($H$3:$H$199,$G$3:$G$199,G85,$B$3:$B$199,B85),),)</f>
        <v>0.5</v>
      </c>
      <c r="M85" s="382">
        <f>IFERROR(IF(B85="Funkcna poziadavka",VLOOKUP(G85,MODULY_CBA!$B$3:$E$23,3,0),),)</f>
        <v>1.4</v>
      </c>
      <c r="N85" s="382">
        <f>IFERROR(IF(B85="funkcna poziadavka",VLOOKUP(G85,MODULY_CBA!$B$3:$E$23,2,0),),)</f>
        <v>0.6</v>
      </c>
      <c r="O85" s="381">
        <f t="shared" si="7"/>
        <v>4.6199999999999992</v>
      </c>
      <c r="P85" s="380">
        <f>IFERROR(O85*VLOOKUP(G85,MODULY_CBA!$B$3:$F$23,5,0),)</f>
        <v>92.399999999999977</v>
      </c>
      <c r="Q85" s="482" t="str">
        <f>IFERROR(VLOOKUP(G85,MODULY_CBA!$B$3:$I$23,6,0),"")</f>
        <v>Inkrement 1</v>
      </c>
      <c r="R85" s="387" t="s">
        <v>166</v>
      </c>
      <c r="S85" s="387" t="s">
        <v>1095</v>
      </c>
      <c r="T85" s="393"/>
      <c r="U85" s="393"/>
      <c r="V85" s="393"/>
      <c r="W85" s="393"/>
      <c r="X85" s="393"/>
      <c r="Y85" s="393"/>
      <c r="Z85" s="393"/>
      <c r="AA85" s="393"/>
      <c r="AB85" s="393"/>
      <c r="AC85" s="393"/>
      <c r="AD85" s="393"/>
      <c r="AE85" s="393"/>
    </row>
    <row r="86" spans="1:31" ht="38.25">
      <c r="A86" s="404" t="s">
        <v>1077</v>
      </c>
      <c r="B86" s="404" t="s">
        <v>747</v>
      </c>
      <c r="C86" s="535" t="s">
        <v>1071</v>
      </c>
      <c r="D86" s="536" t="s">
        <v>1078</v>
      </c>
      <c r="E86" s="536" t="s">
        <v>1079</v>
      </c>
      <c r="F86" s="392" t="s">
        <v>815</v>
      </c>
      <c r="G86" s="392" t="s">
        <v>796</v>
      </c>
      <c r="H86" s="382">
        <v>1</v>
      </c>
      <c r="I86" s="382">
        <v>5</v>
      </c>
      <c r="J86" s="382">
        <f t="shared" si="6"/>
        <v>1</v>
      </c>
      <c r="K86" s="382">
        <f t="shared" si="8"/>
        <v>5</v>
      </c>
      <c r="L86" s="646">
        <f>IFERROR(IF(B86="funkcna poziadavka",VLOOKUP(G86,MODULY_CBA!$B$3:$E$23,4,0)*H86/SUMIFS($H$3:$H$199,$G$3:$G$199,G86,$B$3:$B$199,B86),),)</f>
        <v>0.5</v>
      </c>
      <c r="M86" s="382">
        <f>IFERROR(IF(B86="Funkcna poziadavka",VLOOKUP(G86,MODULY_CBA!$B$3:$E$23,3,0),),)</f>
        <v>1.4</v>
      </c>
      <c r="N86" s="382">
        <f>IFERROR(IF(B86="funkcna poziadavka",VLOOKUP(G86,MODULY_CBA!$B$3:$E$23,2,0),),)</f>
        <v>0.6</v>
      </c>
      <c r="O86" s="381">
        <f t="shared" si="7"/>
        <v>4.6199999999999992</v>
      </c>
      <c r="P86" s="380">
        <f>IFERROR(O86*VLOOKUP(G86,MODULY_CBA!$B$3:$F$23,5,0),)</f>
        <v>92.399999999999977</v>
      </c>
      <c r="Q86" s="482" t="str">
        <f>IFERROR(VLOOKUP(G86,MODULY_CBA!$B$3:$I$23,6,0),"")</f>
        <v>Inkrement 1</v>
      </c>
      <c r="R86" s="387" t="s">
        <v>166</v>
      </c>
      <c r="S86" s="387" t="s">
        <v>1095</v>
      </c>
      <c r="T86" s="393"/>
      <c r="U86" s="393"/>
      <c r="V86" s="393"/>
      <c r="W86" s="393"/>
      <c r="X86" s="393"/>
      <c r="Y86" s="393"/>
      <c r="Z86" s="393"/>
      <c r="AA86" s="393"/>
      <c r="AB86" s="393"/>
      <c r="AC86" s="393"/>
      <c r="AD86" s="393"/>
      <c r="AE86" s="393"/>
    </row>
    <row r="87" spans="1:31" ht="25.5">
      <c r="A87" s="404" t="s">
        <v>1080</v>
      </c>
      <c r="B87" s="404" t="s">
        <v>747</v>
      </c>
      <c r="C87" s="535" t="s">
        <v>1071</v>
      </c>
      <c r="D87" s="536" t="s">
        <v>1081</v>
      </c>
      <c r="E87" s="536" t="s">
        <v>1082</v>
      </c>
      <c r="F87" s="392" t="s">
        <v>815</v>
      </c>
      <c r="G87" s="392" t="s">
        <v>796</v>
      </c>
      <c r="H87" s="382">
        <v>1</v>
      </c>
      <c r="I87" s="382">
        <v>5</v>
      </c>
      <c r="J87" s="382">
        <f t="shared" si="6"/>
        <v>1</v>
      </c>
      <c r="K87" s="382">
        <f t="shared" si="8"/>
        <v>5</v>
      </c>
      <c r="L87" s="646">
        <f>IFERROR(IF(B87="funkcna poziadavka",VLOOKUP(G87,MODULY_CBA!$B$3:$E$23,4,0)*H87/SUMIFS($H$3:$H$199,$G$3:$G$199,G87,$B$3:$B$199,B87),),)</f>
        <v>0.5</v>
      </c>
      <c r="M87" s="382">
        <f>IFERROR(IF(B87="Funkcna poziadavka",VLOOKUP(G87,MODULY_CBA!$B$3:$E$23,3,0),),)</f>
        <v>1.4</v>
      </c>
      <c r="N87" s="382">
        <f>IFERROR(IF(B87="funkcna poziadavka",VLOOKUP(G87,MODULY_CBA!$B$3:$E$23,2,0),),)</f>
        <v>0.6</v>
      </c>
      <c r="O87" s="381">
        <f t="shared" si="7"/>
        <v>4.6199999999999992</v>
      </c>
      <c r="P87" s="380">
        <f>IFERROR(O87*VLOOKUP(G87,MODULY_CBA!$B$3:$F$23,5,0),)</f>
        <v>92.399999999999977</v>
      </c>
      <c r="Q87" s="482" t="str">
        <f>IFERROR(VLOOKUP(G87,MODULY_CBA!$B$3:$I$23,6,0),"")</f>
        <v>Inkrement 1</v>
      </c>
      <c r="R87" s="387" t="s">
        <v>166</v>
      </c>
      <c r="S87" s="387" t="s">
        <v>1095</v>
      </c>
      <c r="T87" s="393"/>
      <c r="U87" s="393"/>
      <c r="V87" s="393"/>
      <c r="W87" s="393"/>
      <c r="X87" s="393"/>
      <c r="Y87" s="393"/>
      <c r="Z87" s="393"/>
      <c r="AA87" s="393"/>
      <c r="AB87" s="393"/>
      <c r="AC87" s="393"/>
      <c r="AD87" s="393"/>
      <c r="AE87" s="393"/>
    </row>
    <row r="88" spans="1:31" ht="25.5">
      <c r="A88" s="404" t="s">
        <v>1083</v>
      </c>
      <c r="B88" s="404" t="s">
        <v>747</v>
      </c>
      <c r="C88" s="535" t="s">
        <v>1084</v>
      </c>
      <c r="D88" s="536" t="s">
        <v>1085</v>
      </c>
      <c r="E88" s="536" t="s">
        <v>1086</v>
      </c>
      <c r="F88" s="392" t="s">
        <v>815</v>
      </c>
      <c r="G88" s="392" t="s">
        <v>796</v>
      </c>
      <c r="H88" s="382">
        <v>1</v>
      </c>
      <c r="I88" s="382">
        <v>5</v>
      </c>
      <c r="J88" s="382">
        <f t="shared" si="6"/>
        <v>1</v>
      </c>
      <c r="K88" s="382">
        <f t="shared" si="8"/>
        <v>5</v>
      </c>
      <c r="L88" s="646">
        <f>IFERROR(IF(B88="funkcna poziadavka",VLOOKUP(G88,MODULY_CBA!$B$3:$E$23,4,0)*H88/SUMIFS($H$3:$H$199,$G$3:$G$199,G88,$B$3:$B$199,B88),),)</f>
        <v>0.5</v>
      </c>
      <c r="M88" s="382">
        <f>IFERROR(IF(B88="Funkcna poziadavka",VLOOKUP(G88,MODULY_CBA!$B$3:$E$23,3,0),),)</f>
        <v>1.4</v>
      </c>
      <c r="N88" s="382">
        <f>IFERROR(IF(B88="funkcna poziadavka",VLOOKUP(G88,MODULY_CBA!$B$3:$E$23,2,0),),)</f>
        <v>0.6</v>
      </c>
      <c r="O88" s="381">
        <f t="shared" si="7"/>
        <v>4.6199999999999992</v>
      </c>
      <c r="P88" s="380">
        <f>IFERROR(O88*VLOOKUP(G88,MODULY_CBA!$B$3:$F$23,5,0),)</f>
        <v>92.399999999999977</v>
      </c>
      <c r="Q88" s="482" t="str">
        <f>IFERROR(VLOOKUP(G88,MODULY_CBA!$B$3:$I$23,6,0),"")</f>
        <v>Inkrement 1</v>
      </c>
      <c r="R88" s="387" t="s">
        <v>166</v>
      </c>
      <c r="S88" s="387" t="s">
        <v>1095</v>
      </c>
      <c r="T88" s="393"/>
      <c r="U88" s="393"/>
      <c r="V88" s="393"/>
      <c r="W88" s="393"/>
      <c r="X88" s="393"/>
      <c r="Y88" s="393"/>
      <c r="Z88" s="393"/>
      <c r="AA88" s="393"/>
      <c r="AB88" s="393"/>
      <c r="AC88" s="393"/>
      <c r="AD88" s="393"/>
      <c r="AE88" s="393"/>
    </row>
    <row r="89" spans="1:31" ht="76.5">
      <c r="A89" s="404" t="s">
        <v>1087</v>
      </c>
      <c r="B89" s="404" t="s">
        <v>747</v>
      </c>
      <c r="C89" s="535" t="s">
        <v>1088</v>
      </c>
      <c r="D89" s="536" t="s">
        <v>1089</v>
      </c>
      <c r="E89" s="536" t="s">
        <v>1090</v>
      </c>
      <c r="F89" s="392" t="s">
        <v>815</v>
      </c>
      <c r="G89" s="392" t="s">
        <v>796</v>
      </c>
      <c r="H89" s="382">
        <v>1</v>
      </c>
      <c r="I89" s="382">
        <v>5</v>
      </c>
      <c r="J89" s="382">
        <f t="shared" si="6"/>
        <v>1</v>
      </c>
      <c r="K89" s="382">
        <f t="shared" si="8"/>
        <v>5</v>
      </c>
      <c r="L89" s="646">
        <f>IFERROR(IF(B89="funkcna poziadavka",VLOOKUP(G89,MODULY_CBA!$B$3:$E$23,4,0)*H89/SUMIFS($H$3:$H$199,$G$3:$G$199,G89,$B$3:$B$199,B89),),)</f>
        <v>0.5</v>
      </c>
      <c r="M89" s="382">
        <f>IFERROR(IF(B89="Funkcna poziadavka",VLOOKUP(G89,MODULY_CBA!$B$3:$E$23,3,0),),)</f>
        <v>1.4</v>
      </c>
      <c r="N89" s="382">
        <f>IFERROR(IF(B89="funkcna poziadavka",VLOOKUP(G89,MODULY_CBA!$B$3:$E$23,2,0),),)</f>
        <v>0.6</v>
      </c>
      <c r="O89" s="381">
        <f t="shared" si="7"/>
        <v>4.6199999999999992</v>
      </c>
      <c r="P89" s="380">
        <f>IFERROR(O89*VLOOKUP(G89,MODULY_CBA!$B$3:$F$23,5,0),)</f>
        <v>92.399999999999977</v>
      </c>
      <c r="Q89" s="482" t="str">
        <f>IFERROR(VLOOKUP(G89,MODULY_CBA!$B$3:$I$23,6,0),"")</f>
        <v>Inkrement 1</v>
      </c>
      <c r="R89" s="387" t="s">
        <v>166</v>
      </c>
      <c r="S89" s="387" t="s">
        <v>1095</v>
      </c>
      <c r="T89" s="388"/>
      <c r="U89" s="388"/>
      <c r="V89" s="388"/>
      <c r="W89" s="388"/>
      <c r="X89" s="388"/>
      <c r="Y89" s="388"/>
      <c r="Z89" s="388"/>
      <c r="AA89" s="388"/>
      <c r="AB89" s="388"/>
      <c r="AC89" s="388"/>
      <c r="AD89" s="388"/>
      <c r="AE89" s="388"/>
    </row>
    <row r="90" spans="1:31" ht="25.5">
      <c r="A90" s="404" t="s">
        <v>1091</v>
      </c>
      <c r="B90" s="404" t="s">
        <v>747</v>
      </c>
      <c r="C90" s="535" t="s">
        <v>1092</v>
      </c>
      <c r="D90" s="536" t="s">
        <v>1093</v>
      </c>
      <c r="E90" s="536" t="s">
        <v>1094</v>
      </c>
      <c r="F90" s="392" t="s">
        <v>815</v>
      </c>
      <c r="G90" s="392" t="s">
        <v>796</v>
      </c>
      <c r="H90" s="382">
        <v>1</v>
      </c>
      <c r="I90" s="382">
        <v>5</v>
      </c>
      <c r="J90" s="382">
        <f t="shared" si="6"/>
        <v>1</v>
      </c>
      <c r="K90" s="382">
        <f t="shared" si="8"/>
        <v>5</v>
      </c>
      <c r="L90" s="646">
        <f>IFERROR(IF(B90="funkcna poziadavka",VLOOKUP(G90,MODULY_CBA!$B$3:$E$23,4,0)*H90/SUMIFS($H$3:$H$199,$G$3:$G$199,G90,$B$3:$B$199,B90),),)</f>
        <v>0.5</v>
      </c>
      <c r="M90" s="382">
        <f>IFERROR(IF(B90="Funkcna poziadavka",VLOOKUP(G90,MODULY_CBA!$B$3:$E$23,3,0),),)</f>
        <v>1.4</v>
      </c>
      <c r="N90" s="382">
        <f>IFERROR(IF(B90="funkcna poziadavka",VLOOKUP(G90,MODULY_CBA!$B$3:$E$23,2,0),),)</f>
        <v>0.6</v>
      </c>
      <c r="O90" s="381">
        <f t="shared" si="7"/>
        <v>4.6199999999999992</v>
      </c>
      <c r="P90" s="380">
        <f>IFERROR(O90*VLOOKUP(G90,MODULY_CBA!$B$3:$F$23,5,0),)</f>
        <v>92.399999999999977</v>
      </c>
      <c r="Q90" s="482" t="str">
        <f>IFERROR(VLOOKUP(G90,MODULY_CBA!$B$3:$I$23,6,0),"")</f>
        <v>Inkrement 1</v>
      </c>
      <c r="R90" s="387" t="s">
        <v>166</v>
      </c>
      <c r="S90" s="387" t="s">
        <v>1095</v>
      </c>
      <c r="T90" s="388"/>
      <c r="U90" s="388"/>
      <c r="V90" s="388"/>
      <c r="W90" s="388"/>
      <c r="X90" s="388"/>
      <c r="Y90" s="388"/>
      <c r="Z90" s="388"/>
      <c r="AA90" s="388"/>
      <c r="AB90" s="388"/>
      <c r="AC90" s="388"/>
      <c r="AD90" s="388"/>
      <c r="AE90" s="388"/>
    </row>
    <row r="91" spans="1:31">
      <c r="A91" s="404"/>
      <c r="B91" s="404"/>
      <c r="C91" s="392"/>
      <c r="D91" s="537"/>
      <c r="E91" s="537"/>
      <c r="F91" s="389"/>
      <c r="G91" s="389"/>
      <c r="H91" s="651"/>
      <c r="I91" s="651"/>
      <c r="J91" s="382">
        <f t="shared" si="6"/>
        <v>0</v>
      </c>
      <c r="K91" s="382">
        <f t="shared" si="8"/>
        <v>0</v>
      </c>
      <c r="L91" s="646">
        <f>IFERROR(IF(B91="funkcna poziadavka",VLOOKUP(G91,MODULY_CBA!$B$3:$E$23,4,0)*H91/SUMIFS($H$3:$H$199,$G$3:$G$199,G91,$B$3:$B$199,B91),),)</f>
        <v>0</v>
      </c>
      <c r="M91" s="382">
        <f>IFERROR(IF(B91="Funkcna poziadavka",VLOOKUP(G91,MODULY_CBA!$B$3:$E$23,3,0),),)</f>
        <v>0</v>
      </c>
      <c r="N91" s="382">
        <f>IFERROR(IF(B91="funkcna poziadavka",VLOOKUP(G91,MODULY_CBA!$B$3:$E$23,2,0),),)</f>
        <v>0</v>
      </c>
      <c r="O91" s="381">
        <f t="shared" si="7"/>
        <v>0</v>
      </c>
      <c r="P91" s="380">
        <f>IFERROR(O91*VLOOKUP(G91,MODULY_CBA!$B$3:$F$23,5,0),)</f>
        <v>0</v>
      </c>
      <c r="Q91" s="482" t="str">
        <f>IFERROR(VLOOKUP(G91,MODULY_CBA!$B$3:$I$23,6,0),"")</f>
        <v/>
      </c>
      <c r="R91" s="388"/>
      <c r="S91" s="388"/>
      <c r="T91" s="388"/>
      <c r="U91" s="388"/>
      <c r="V91" s="388"/>
      <c r="W91" s="388"/>
      <c r="X91" s="388"/>
      <c r="Y91" s="388"/>
      <c r="Z91" s="388"/>
      <c r="AA91" s="388"/>
      <c r="AB91" s="388"/>
      <c r="AC91" s="388"/>
      <c r="AD91" s="388"/>
      <c r="AE91" s="388"/>
    </row>
    <row r="92" spans="1:31">
      <c r="A92" s="404"/>
      <c r="B92" s="404"/>
      <c r="C92" s="392"/>
      <c r="D92" s="537"/>
      <c r="E92" s="537"/>
      <c r="F92" s="389"/>
      <c r="G92" s="389"/>
      <c r="H92" s="651"/>
      <c r="I92" s="651"/>
      <c r="J92" s="382">
        <f t="shared" si="6"/>
        <v>0</v>
      </c>
      <c r="K92" s="382">
        <f t="shared" si="8"/>
        <v>0</v>
      </c>
      <c r="L92" s="646">
        <f>IFERROR(IF(B92="funkcna poziadavka",VLOOKUP(G92,MODULY_CBA!$B$3:$E$23,4,0)*H92/SUMIFS($H$3:$H$199,$G$3:$G$199,G92,$B$3:$B$199,B92),),)</f>
        <v>0</v>
      </c>
      <c r="M92" s="382">
        <f>IFERROR(IF(B92="Funkcna poziadavka",VLOOKUP(G92,MODULY_CBA!$B$3:$E$23,3,0),),)</f>
        <v>0</v>
      </c>
      <c r="N92" s="382">
        <f>IFERROR(IF(B92="funkcna poziadavka",VLOOKUP(G92,MODULY_CBA!$B$3:$E$23,2,0),),)</f>
        <v>0</v>
      </c>
      <c r="O92" s="381">
        <f t="shared" si="7"/>
        <v>0</v>
      </c>
      <c r="P92" s="380">
        <f>IFERROR(O92*VLOOKUP(G92,MODULY_CBA!$B$3:$F$23,5,0),)</f>
        <v>0</v>
      </c>
      <c r="Q92" s="482" t="str">
        <f>IFERROR(VLOOKUP(G92,MODULY_CBA!$B$3:$I$23,6,0),"")</f>
        <v/>
      </c>
      <c r="R92" s="388"/>
      <c r="S92" s="388"/>
      <c r="T92" s="388"/>
      <c r="U92" s="388"/>
      <c r="V92" s="388"/>
      <c r="W92" s="388"/>
      <c r="X92" s="388"/>
      <c r="Y92" s="388"/>
      <c r="Z92" s="388"/>
      <c r="AA92" s="388"/>
      <c r="AB92" s="388"/>
      <c r="AC92" s="388"/>
      <c r="AD92" s="388"/>
      <c r="AE92" s="388"/>
    </row>
    <row r="93" spans="1:31">
      <c r="A93" s="404"/>
      <c r="B93" s="404"/>
      <c r="C93" s="392"/>
      <c r="D93" s="537"/>
      <c r="E93" s="537"/>
      <c r="F93" s="389"/>
      <c r="G93" s="389"/>
      <c r="H93" s="651"/>
      <c r="I93" s="651"/>
      <c r="J93" s="382">
        <f t="shared" si="6"/>
        <v>0</v>
      </c>
      <c r="K93" s="382">
        <f t="shared" si="8"/>
        <v>0</v>
      </c>
      <c r="L93" s="646">
        <f>IFERROR(IF(B93="funkcna poziadavka",VLOOKUP(G93,MODULY_CBA!$B$3:$E$23,4,0)*H93/SUMIFS($H$3:$H$199,$G$3:$G$199,G93,$B$3:$B$199,B93),),)</f>
        <v>0</v>
      </c>
      <c r="M93" s="382">
        <f>IFERROR(IF(B93="Funkcna poziadavka",VLOOKUP(G93,MODULY_CBA!$B$3:$E$23,3,0),),)</f>
        <v>0</v>
      </c>
      <c r="N93" s="382">
        <f>IFERROR(IF(B93="funkcna poziadavka",VLOOKUP(G93,MODULY_CBA!$B$3:$E$23,2,0),),)</f>
        <v>0</v>
      </c>
      <c r="O93" s="381">
        <f t="shared" si="7"/>
        <v>0</v>
      </c>
      <c r="P93" s="380">
        <f>IFERROR(O93*VLOOKUP(G93,MODULY_CBA!$B$3:$F$23,5,0),)</f>
        <v>0</v>
      </c>
      <c r="Q93" s="482" t="str">
        <f>IFERROR(VLOOKUP(G93,MODULY_CBA!$B$3:$I$23,6,0),"")</f>
        <v/>
      </c>
      <c r="R93" s="388"/>
      <c r="S93" s="388"/>
      <c r="T93" s="388"/>
      <c r="U93" s="388"/>
      <c r="V93" s="388"/>
      <c r="W93" s="388"/>
      <c r="X93" s="388"/>
      <c r="Y93" s="388"/>
      <c r="Z93" s="388"/>
      <c r="AA93" s="388"/>
      <c r="AB93" s="388"/>
      <c r="AC93" s="388"/>
      <c r="AD93" s="388"/>
      <c r="AE93" s="388"/>
    </row>
    <row r="94" spans="1:31">
      <c r="A94" s="404"/>
      <c r="B94" s="404"/>
      <c r="C94" s="392"/>
      <c r="D94" s="537"/>
      <c r="E94" s="537"/>
      <c r="F94" s="389"/>
      <c r="G94" s="389"/>
      <c r="H94" s="651"/>
      <c r="I94" s="651"/>
      <c r="J94" s="382">
        <f t="shared" si="6"/>
        <v>0</v>
      </c>
      <c r="K94" s="382">
        <f t="shared" si="8"/>
        <v>0</v>
      </c>
      <c r="L94" s="646">
        <f>IFERROR(IF(B94="funkcna poziadavka",VLOOKUP(G94,MODULY_CBA!$B$3:$E$23,4,0)*H94/SUMIFS($H$3:$H$199,$G$3:$G$199,G94,$B$3:$B$199,B94),),)</f>
        <v>0</v>
      </c>
      <c r="M94" s="382">
        <f>IFERROR(IF(B94="Funkcna poziadavka",VLOOKUP(G94,MODULY_CBA!$B$3:$E$23,3,0),),)</f>
        <v>0</v>
      </c>
      <c r="N94" s="382">
        <f>IFERROR(IF(B94="funkcna poziadavka",VLOOKUP(G94,MODULY_CBA!$B$3:$E$23,2,0),),)</f>
        <v>0</v>
      </c>
      <c r="O94" s="381">
        <f t="shared" si="7"/>
        <v>0</v>
      </c>
      <c r="P94" s="380">
        <f>IFERROR(O94*VLOOKUP(G94,MODULY_CBA!$B$3:$F$23,5,0),)</f>
        <v>0</v>
      </c>
      <c r="Q94" s="482" t="str">
        <f>IFERROR(VLOOKUP(G94,MODULY_CBA!$B$3:$I$23,6,0),"")</f>
        <v/>
      </c>
      <c r="R94" s="388"/>
      <c r="S94" s="388"/>
      <c r="T94" s="388"/>
      <c r="U94" s="388"/>
      <c r="V94" s="388"/>
      <c r="W94" s="388"/>
      <c r="X94" s="388"/>
      <c r="Y94" s="388"/>
      <c r="Z94" s="388"/>
      <c r="AA94" s="388"/>
      <c r="AB94" s="388"/>
      <c r="AC94" s="388"/>
      <c r="AD94" s="388"/>
      <c r="AE94" s="388"/>
    </row>
    <row r="95" spans="1:31">
      <c r="A95" s="404"/>
      <c r="B95" s="404"/>
      <c r="C95" s="392"/>
      <c r="D95" s="537"/>
      <c r="E95" s="537"/>
      <c r="F95" s="389"/>
      <c r="G95" s="389"/>
      <c r="H95" s="651"/>
      <c r="I95" s="651"/>
      <c r="J95" s="382">
        <f t="shared" si="6"/>
        <v>0</v>
      </c>
      <c r="K95" s="382">
        <f t="shared" si="8"/>
        <v>0</v>
      </c>
      <c r="L95" s="646">
        <f>IFERROR(IF(B95="funkcna poziadavka",VLOOKUP(G95,MODULY_CBA!$B$3:$E$23,4,0)*H95/SUMIFS($H$3:$H$199,$G$3:$G$199,G95,$B$3:$B$199,B95),),)</f>
        <v>0</v>
      </c>
      <c r="M95" s="382">
        <f>IFERROR(IF(B95="Funkcna poziadavka",VLOOKUP(G95,MODULY_CBA!$B$3:$E$23,3,0),),)</f>
        <v>0</v>
      </c>
      <c r="N95" s="382">
        <f>IFERROR(IF(B95="funkcna poziadavka",VLOOKUP(G95,MODULY_CBA!$B$3:$E$23,2,0),),)</f>
        <v>0</v>
      </c>
      <c r="O95" s="381">
        <f t="shared" si="7"/>
        <v>0</v>
      </c>
      <c r="P95" s="380">
        <f>IFERROR(O95*VLOOKUP(G95,MODULY_CBA!$B$3:$F$23,5,0),)</f>
        <v>0</v>
      </c>
      <c r="Q95" s="482" t="str">
        <f>IFERROR(VLOOKUP(G95,MODULY_CBA!$B$3:$I$23,6,0),"")</f>
        <v/>
      </c>
      <c r="R95" s="388"/>
      <c r="S95" s="388"/>
      <c r="T95" s="388"/>
      <c r="U95" s="388"/>
      <c r="V95" s="388"/>
      <c r="W95" s="388"/>
      <c r="X95" s="388"/>
      <c r="Y95" s="388"/>
      <c r="Z95" s="388"/>
      <c r="AA95" s="388"/>
      <c r="AB95" s="388"/>
      <c r="AC95" s="388"/>
      <c r="AD95" s="388"/>
      <c r="AE95" s="388"/>
    </row>
    <row r="96" spans="1:31">
      <c r="A96" s="404"/>
      <c r="B96" s="404"/>
      <c r="C96" s="392"/>
      <c r="D96" s="537"/>
      <c r="E96" s="537"/>
      <c r="F96" s="389"/>
      <c r="G96" s="389"/>
      <c r="H96" s="651"/>
      <c r="I96" s="651"/>
      <c r="J96" s="382">
        <f t="shared" si="6"/>
        <v>0</v>
      </c>
      <c r="K96" s="382">
        <f t="shared" si="8"/>
        <v>0</v>
      </c>
      <c r="L96" s="646">
        <f>IFERROR(IF(B96="funkcna poziadavka",VLOOKUP(G96,MODULY_CBA!$B$3:$E$23,4,0)*H96/SUMIFS($H$3:$H$199,$G$3:$G$199,G96,$B$3:$B$199,B96),),)</f>
        <v>0</v>
      </c>
      <c r="M96" s="382">
        <f>IFERROR(IF(B96="Funkcna poziadavka",VLOOKUP(G96,MODULY_CBA!$B$3:$E$23,3,0),),)</f>
        <v>0</v>
      </c>
      <c r="N96" s="382">
        <f>IFERROR(IF(B96="funkcna poziadavka",VLOOKUP(G96,MODULY_CBA!$B$3:$E$23,2,0),),)</f>
        <v>0</v>
      </c>
      <c r="O96" s="381">
        <f t="shared" si="7"/>
        <v>0</v>
      </c>
      <c r="P96" s="380">
        <f>IFERROR(O96*VLOOKUP(G96,MODULY_CBA!$B$3:$F$23,5,0),)</f>
        <v>0</v>
      </c>
      <c r="Q96" s="482" t="str">
        <f>IFERROR(VLOOKUP(G96,MODULY_CBA!$B$3:$I$23,6,0),"")</f>
        <v/>
      </c>
      <c r="R96" s="388"/>
      <c r="S96" s="388"/>
      <c r="T96" s="388"/>
      <c r="U96" s="388"/>
      <c r="V96" s="388"/>
      <c r="W96" s="388"/>
      <c r="X96" s="388"/>
      <c r="Y96" s="388"/>
      <c r="Z96" s="388"/>
      <c r="AA96" s="388"/>
      <c r="AB96" s="388"/>
      <c r="AC96" s="388"/>
      <c r="AD96" s="388"/>
      <c r="AE96" s="388"/>
    </row>
    <row r="97" spans="1:31">
      <c r="A97" s="404"/>
      <c r="B97" s="404"/>
      <c r="C97" s="392"/>
      <c r="D97" s="392"/>
      <c r="E97" s="537"/>
      <c r="F97" s="392"/>
      <c r="G97" s="389"/>
      <c r="H97" s="382"/>
      <c r="I97" s="382"/>
      <c r="J97" s="382">
        <f t="shared" si="6"/>
        <v>0</v>
      </c>
      <c r="K97" s="382">
        <f t="shared" si="8"/>
        <v>0</v>
      </c>
      <c r="L97" s="646">
        <f>IFERROR(IF(B97="funkcna poziadavka",VLOOKUP(G97,MODULY_CBA!$B$3:$E$23,4,0)*H97/SUMIFS($H$3:$H$199,$G$3:$G$199,G97,$B$3:$B$199,B97),),)</f>
        <v>0</v>
      </c>
      <c r="M97" s="382">
        <f>IFERROR(IF(B97="Funkcna poziadavka",VLOOKUP(G97,MODULY_CBA!$B$3:$E$23,3,0),),)</f>
        <v>0</v>
      </c>
      <c r="N97" s="382">
        <f>IFERROR(IF(B97="funkcna poziadavka",VLOOKUP(G97,MODULY_CBA!$B$3:$E$23,2,0),),)</f>
        <v>0</v>
      </c>
      <c r="O97" s="381">
        <f t="shared" si="7"/>
        <v>0</v>
      </c>
      <c r="P97" s="380">
        <f>IFERROR(O97*VLOOKUP(G97,MODULY_CBA!$B$3:$F$23,5,0),)</f>
        <v>0</v>
      </c>
      <c r="Q97" s="482" t="str">
        <f>IFERROR(VLOOKUP(G97,MODULY_CBA!$B$3:$I$23,6,0),"")</f>
        <v/>
      </c>
      <c r="R97" s="387"/>
      <c r="S97" s="387"/>
      <c r="T97" s="387"/>
      <c r="U97" s="387"/>
      <c r="V97" s="391"/>
      <c r="W97" s="390"/>
      <c r="X97" s="390"/>
      <c r="Y97" s="387"/>
      <c r="Z97" s="387"/>
      <c r="AA97" s="387"/>
      <c r="AB97" s="387"/>
      <c r="AC97" s="387"/>
      <c r="AD97" s="387"/>
      <c r="AE97" s="387"/>
    </row>
    <row r="98" spans="1:31">
      <c r="A98" s="404"/>
      <c r="B98" s="404"/>
      <c r="C98" s="392"/>
      <c r="D98" s="537"/>
      <c r="E98" s="537"/>
      <c r="F98" s="389"/>
      <c r="G98" s="389"/>
      <c r="H98" s="651"/>
      <c r="I98" s="651"/>
      <c r="J98" s="382">
        <f t="shared" si="6"/>
        <v>0</v>
      </c>
      <c r="K98" s="382">
        <f t="shared" si="8"/>
        <v>0</v>
      </c>
      <c r="L98" s="646">
        <f>IFERROR(IF(B98="funkcna poziadavka",VLOOKUP(G98,MODULY_CBA!$B$3:$E$23,4,0)*H98/SUMIFS($H$3:$H$199,$G$3:$G$199,G98,$B$3:$B$199,B98),),)</f>
        <v>0</v>
      </c>
      <c r="M98" s="382">
        <f>IFERROR(IF(B98="Funkcna poziadavka",VLOOKUP(G98,MODULY_CBA!$B$3:$E$23,3,0),),)</f>
        <v>0</v>
      </c>
      <c r="N98" s="382">
        <f>IFERROR(IF(B98="funkcna poziadavka",VLOOKUP(G98,MODULY_CBA!$B$3:$E$23,2,0),),)</f>
        <v>0</v>
      </c>
      <c r="O98" s="381">
        <f t="shared" si="7"/>
        <v>0</v>
      </c>
      <c r="P98" s="380">
        <f>IFERROR(O98*VLOOKUP(G98,MODULY_CBA!$B$3:$F$23,5,0),)</f>
        <v>0</v>
      </c>
      <c r="Q98" s="482" t="str">
        <f>IFERROR(VLOOKUP(G98,MODULY_CBA!$B$3:$I$23,6,0),"")</f>
        <v/>
      </c>
      <c r="R98" s="388"/>
      <c r="S98" s="388"/>
      <c r="T98" s="388"/>
      <c r="U98" s="388"/>
      <c r="V98" s="388"/>
      <c r="W98" s="388"/>
      <c r="X98" s="388"/>
      <c r="Y98" s="388"/>
      <c r="Z98" s="388"/>
      <c r="AA98" s="388"/>
      <c r="AB98" s="388"/>
      <c r="AC98" s="388"/>
      <c r="AD98" s="388"/>
      <c r="AE98" s="388"/>
    </row>
    <row r="99" spans="1:31">
      <c r="A99" s="404"/>
      <c r="B99" s="404"/>
      <c r="C99" s="389"/>
      <c r="D99" s="537"/>
      <c r="E99" s="537"/>
      <c r="F99" s="389"/>
      <c r="G99" s="389"/>
      <c r="H99" s="651"/>
      <c r="I99" s="651"/>
      <c r="J99" s="382">
        <f t="shared" ref="J99:J130" si="9">IF(ISNUMBER(H99),H99,)</f>
        <v>0</v>
      </c>
      <c r="K99" s="382">
        <f t="shared" si="8"/>
        <v>0</v>
      </c>
      <c r="L99" s="646">
        <f>IFERROR(IF(B99="funkcna poziadavka",VLOOKUP(G99,MODULY_CBA!$B$3:$E$23,4,0)*H99/SUMIFS($H$3:$H$199,$G$3:$G$199,G99,$B$3:$B$199,B99),),)</f>
        <v>0</v>
      </c>
      <c r="M99" s="382">
        <f>IFERROR(IF(B99="Funkcna poziadavka",VLOOKUP(G99,MODULY_CBA!$B$3:$E$23,3,0),),)</f>
        <v>0</v>
      </c>
      <c r="N99" s="382">
        <f>IFERROR(IF(B99="funkcna poziadavka",VLOOKUP(G99,MODULY_CBA!$B$3:$E$23,2,0),),)</f>
        <v>0</v>
      </c>
      <c r="O99" s="381">
        <f t="shared" ref="O99:O130" si="10">(K99+L99)*M99*N99</f>
        <v>0</v>
      </c>
      <c r="P99" s="380">
        <f>IFERROR(O99*VLOOKUP(G99,MODULY_CBA!$B$3:$F$23,5,0),)</f>
        <v>0</v>
      </c>
      <c r="Q99" s="482" t="str">
        <f>IFERROR(VLOOKUP(G99,MODULY_CBA!$B$3:$I$23,6,0),"")</f>
        <v/>
      </c>
      <c r="R99" s="388"/>
      <c r="S99" s="388"/>
      <c r="T99" s="388"/>
      <c r="U99" s="388"/>
      <c r="V99" s="388"/>
      <c r="W99" s="388"/>
      <c r="X99" s="388"/>
      <c r="Y99" s="388"/>
      <c r="Z99" s="388"/>
      <c r="AA99" s="388"/>
      <c r="AB99" s="388"/>
      <c r="AC99" s="388"/>
      <c r="AD99" s="388"/>
      <c r="AE99" s="388"/>
    </row>
    <row r="100" spans="1:31">
      <c r="A100" s="404"/>
      <c r="B100" s="404"/>
      <c r="C100" s="392"/>
      <c r="D100" s="537"/>
      <c r="E100" s="536"/>
      <c r="F100" s="389"/>
      <c r="G100" s="389"/>
      <c r="H100" s="651"/>
      <c r="I100" s="651"/>
      <c r="J100" s="382">
        <f t="shared" si="9"/>
        <v>0</v>
      </c>
      <c r="K100" s="382">
        <f t="shared" si="8"/>
        <v>0</v>
      </c>
      <c r="L100" s="646">
        <f>IFERROR(IF(B100="funkcna poziadavka",VLOOKUP(G100,MODULY_CBA!$B$3:$E$23,4,0)*H100/SUMIFS($H$3:$H$199,$G$3:$G$199,G100,$B$3:$B$199,B100),),)</f>
        <v>0</v>
      </c>
      <c r="M100" s="382">
        <f>IFERROR(IF(B100="Funkcna poziadavka",VLOOKUP(G100,MODULY_CBA!$B$3:$E$23,3,0),),)</f>
        <v>0</v>
      </c>
      <c r="N100" s="382">
        <f>IFERROR(IF(B100="funkcna poziadavka",VLOOKUP(G100,MODULY_CBA!$B$3:$E$23,2,0),),)</f>
        <v>0</v>
      </c>
      <c r="O100" s="381">
        <f t="shared" si="10"/>
        <v>0</v>
      </c>
      <c r="P100" s="380">
        <f>IFERROR(O100*VLOOKUP(G100,MODULY_CBA!$B$3:$F$23,5,0),)</f>
        <v>0</v>
      </c>
      <c r="Q100" s="482" t="str">
        <f>IFERROR(VLOOKUP(G100,MODULY_CBA!$B$3:$I$23,6,0),"")</f>
        <v/>
      </c>
      <c r="R100" s="388"/>
      <c r="S100" s="388"/>
      <c r="T100" s="388"/>
      <c r="U100" s="388"/>
      <c r="V100" s="388"/>
      <c r="W100" s="388"/>
      <c r="X100" s="388"/>
      <c r="Y100" s="388"/>
      <c r="Z100" s="388"/>
      <c r="AA100" s="388"/>
      <c r="AB100" s="388"/>
      <c r="AC100" s="388"/>
      <c r="AD100" s="388"/>
      <c r="AE100" s="388"/>
    </row>
    <row r="101" spans="1:31">
      <c r="A101" s="404"/>
      <c r="B101" s="404"/>
      <c r="C101" s="392"/>
      <c r="D101" s="537"/>
      <c r="E101" s="537"/>
      <c r="F101" s="389"/>
      <c r="G101" s="389"/>
      <c r="H101" s="651"/>
      <c r="I101" s="651"/>
      <c r="J101" s="382">
        <f t="shared" si="9"/>
        <v>0</v>
      </c>
      <c r="K101" s="382">
        <f t="shared" si="8"/>
        <v>0</v>
      </c>
      <c r="L101" s="646">
        <f>IFERROR(IF(B101="funkcna poziadavka",VLOOKUP(G101,MODULY_CBA!$B$3:$E$23,4,0)*H101/SUMIFS($H$3:$H$199,$G$3:$G$199,G101,$B$3:$B$199,B101),),)</f>
        <v>0</v>
      </c>
      <c r="M101" s="382">
        <f>IFERROR(IF(B101="Funkcna poziadavka",VLOOKUP(G101,MODULY_CBA!$B$3:$E$23,3,0),),)</f>
        <v>0</v>
      </c>
      <c r="N101" s="382">
        <f>IFERROR(IF(B101="funkcna poziadavka",VLOOKUP(G101,MODULY_CBA!$B$3:$E$23,2,0),),)</f>
        <v>0</v>
      </c>
      <c r="O101" s="381">
        <f t="shared" si="10"/>
        <v>0</v>
      </c>
      <c r="P101" s="380">
        <f>IFERROR(O101*VLOOKUP(G101,MODULY_CBA!$B$3:$F$23,5,0),)</f>
        <v>0</v>
      </c>
      <c r="Q101" s="482" t="str">
        <f>IFERROR(VLOOKUP(G101,MODULY_CBA!$B$3:$I$23,6,0),"")</f>
        <v/>
      </c>
      <c r="R101" s="388"/>
      <c r="S101" s="388"/>
      <c r="T101" s="388"/>
      <c r="U101" s="388"/>
      <c r="V101" s="388"/>
      <c r="W101" s="388"/>
      <c r="X101" s="388"/>
      <c r="Y101" s="388"/>
      <c r="Z101" s="388"/>
      <c r="AA101" s="388"/>
      <c r="AB101" s="388"/>
      <c r="AC101" s="388"/>
      <c r="AD101" s="388"/>
      <c r="AE101" s="388"/>
    </row>
    <row r="102" spans="1:31">
      <c r="A102" s="404"/>
      <c r="B102" s="404"/>
      <c r="C102" s="389"/>
      <c r="D102" s="537"/>
      <c r="E102" s="537"/>
      <c r="F102" s="389"/>
      <c r="G102" s="389"/>
      <c r="H102" s="651"/>
      <c r="I102" s="651"/>
      <c r="J102" s="382">
        <f t="shared" si="9"/>
        <v>0</v>
      </c>
      <c r="K102" s="382">
        <f t="shared" si="8"/>
        <v>0</v>
      </c>
      <c r="L102" s="646">
        <f>IFERROR(IF(B102="funkcna poziadavka",VLOOKUP(G102,MODULY_CBA!$B$3:$E$23,4,0)*H102/SUMIFS($H$3:$H$199,$G$3:$G$199,G102,$B$3:$B$199,B102),),)</f>
        <v>0</v>
      </c>
      <c r="M102" s="382">
        <f>IFERROR(IF(B102="Funkcna poziadavka",VLOOKUP(G102,MODULY_CBA!$B$3:$E$23,3,0),),)</f>
        <v>0</v>
      </c>
      <c r="N102" s="382">
        <f>IFERROR(IF(B102="funkcna poziadavka",VLOOKUP(G102,MODULY_CBA!$B$3:$E$23,2,0),),)</f>
        <v>0</v>
      </c>
      <c r="O102" s="381">
        <f t="shared" si="10"/>
        <v>0</v>
      </c>
      <c r="P102" s="380">
        <f>IFERROR(O102*VLOOKUP(G102,MODULY_CBA!$B$3:$F$23,5,0),)</f>
        <v>0</v>
      </c>
      <c r="Q102" s="482" t="str">
        <f>IFERROR(VLOOKUP(G102,MODULY_CBA!$B$3:$I$23,6,0),"")</f>
        <v/>
      </c>
      <c r="R102" s="388"/>
      <c r="S102" s="388"/>
      <c r="T102" s="388"/>
      <c r="U102" s="388"/>
      <c r="V102" s="388"/>
      <c r="W102" s="388"/>
      <c r="X102" s="388"/>
      <c r="Y102" s="388"/>
      <c r="Z102" s="388"/>
      <c r="AA102" s="388"/>
      <c r="AB102" s="388"/>
      <c r="AC102" s="388"/>
      <c r="AD102" s="388"/>
      <c r="AE102" s="388"/>
    </row>
    <row r="103" spans="1:31">
      <c r="A103" s="404"/>
      <c r="B103" s="404"/>
      <c r="C103" s="392"/>
      <c r="D103" s="537"/>
      <c r="E103" s="537"/>
      <c r="F103" s="389"/>
      <c r="G103" s="389"/>
      <c r="H103" s="651"/>
      <c r="I103" s="651"/>
      <c r="J103" s="382">
        <f t="shared" si="9"/>
        <v>0</v>
      </c>
      <c r="K103" s="382">
        <f t="shared" si="8"/>
        <v>0</v>
      </c>
      <c r="L103" s="646">
        <f>IFERROR(IF(B103="funkcna poziadavka",VLOOKUP(G103,MODULY_CBA!$B$3:$E$23,4,0)*H103/SUMIFS($H$3:$H$199,$G$3:$G$199,G103,$B$3:$B$199,B103),),)</f>
        <v>0</v>
      </c>
      <c r="M103" s="382">
        <f>IFERROR(IF(B103="Funkcna poziadavka",VLOOKUP(G103,MODULY_CBA!$B$3:$E$23,3,0),),)</f>
        <v>0</v>
      </c>
      <c r="N103" s="382">
        <f>IFERROR(IF(B103="funkcna poziadavka",VLOOKUP(G103,MODULY_CBA!$B$3:$E$23,2,0),),)</f>
        <v>0</v>
      </c>
      <c r="O103" s="381">
        <f t="shared" si="10"/>
        <v>0</v>
      </c>
      <c r="P103" s="380">
        <f>IFERROR(O103*VLOOKUP(G103,MODULY_CBA!$B$3:$F$23,5,0),)</f>
        <v>0</v>
      </c>
      <c r="Q103" s="482" t="str">
        <f>IFERROR(VLOOKUP(G103,MODULY_CBA!$B$3:$I$23,6,0),"")</f>
        <v/>
      </c>
      <c r="R103" s="388"/>
      <c r="S103" s="388"/>
      <c r="T103" s="388"/>
      <c r="U103" s="388"/>
      <c r="V103" s="388"/>
      <c r="W103" s="388"/>
      <c r="X103" s="388"/>
      <c r="Y103" s="388"/>
      <c r="Z103" s="388"/>
      <c r="AA103" s="388"/>
      <c r="AB103" s="388"/>
      <c r="AC103" s="388"/>
      <c r="AD103" s="388"/>
      <c r="AE103" s="388"/>
    </row>
    <row r="104" spans="1:31">
      <c r="A104" s="404"/>
      <c r="B104" s="404"/>
      <c r="C104" s="535"/>
      <c r="D104" s="535"/>
      <c r="E104" s="535"/>
      <c r="F104" s="383"/>
      <c r="G104" s="383"/>
      <c r="H104" s="652"/>
      <c r="I104" s="652"/>
      <c r="J104" s="382">
        <f t="shared" si="9"/>
        <v>0</v>
      </c>
      <c r="K104" s="382">
        <f t="shared" si="8"/>
        <v>0</v>
      </c>
      <c r="L104" s="646">
        <f>IFERROR(IF(B104="funkcna poziadavka",VLOOKUP(G104,MODULY_CBA!$B$3:$E$23,4,0)*H104/SUMIFS($H$3:$H$199,$G$3:$G$199,G104,$B$3:$B$199,B104),),)</f>
        <v>0</v>
      </c>
      <c r="M104" s="382">
        <f>IFERROR(IF(B104="Funkcna poziadavka",VLOOKUP(G104,MODULY_CBA!$B$3:$E$23,3,0),),)</f>
        <v>0</v>
      </c>
      <c r="N104" s="382">
        <f>IFERROR(IF(B104="funkcna poziadavka",VLOOKUP(G104,MODULY_CBA!$B$3:$E$23,2,0),),)</f>
        <v>0</v>
      </c>
      <c r="O104" s="381">
        <f t="shared" si="10"/>
        <v>0</v>
      </c>
      <c r="P104" s="380">
        <f>IFERROR(O104*VLOOKUP(G104,MODULY_CBA!$B$3:$F$23,5,0),)</f>
        <v>0</v>
      </c>
      <c r="Q104" s="482" t="str">
        <f>IFERROR(VLOOKUP(G104,MODULY_CBA!$B$3:$I$23,6,0),"")</f>
        <v/>
      </c>
      <c r="R104" s="378"/>
      <c r="S104" s="378"/>
      <c r="T104" s="378"/>
      <c r="U104" s="378"/>
      <c r="V104" s="378"/>
      <c r="W104" s="378"/>
      <c r="X104" s="378"/>
      <c r="Y104" s="378"/>
      <c r="Z104" s="378"/>
      <c r="AA104" s="378"/>
      <c r="AB104" s="378"/>
      <c r="AC104" s="378"/>
      <c r="AD104" s="378"/>
      <c r="AE104" s="378"/>
    </row>
    <row r="105" spans="1:31">
      <c r="A105" s="404"/>
      <c r="B105" s="404"/>
      <c r="C105" s="535"/>
      <c r="D105" s="535"/>
      <c r="E105" s="535"/>
      <c r="F105" s="383"/>
      <c r="G105" s="383"/>
      <c r="H105" s="652"/>
      <c r="I105" s="652"/>
      <c r="J105" s="382">
        <f t="shared" si="9"/>
        <v>0</v>
      </c>
      <c r="K105" s="382">
        <f t="shared" si="8"/>
        <v>0</v>
      </c>
      <c r="L105" s="646">
        <f>IFERROR(IF(B105="funkcna poziadavka",VLOOKUP(G105,MODULY_CBA!$B$3:$E$23,4,0)*H105/SUMIFS($H$3:$H$199,$G$3:$G$199,G105,$B$3:$B$199,B105),),)</f>
        <v>0</v>
      </c>
      <c r="M105" s="382">
        <f>IFERROR(IF(B105="Funkcna poziadavka",VLOOKUP(G105,MODULY_CBA!$B$3:$E$23,3,0),),)</f>
        <v>0</v>
      </c>
      <c r="N105" s="382">
        <f>IFERROR(IF(B105="funkcna poziadavka",VLOOKUP(G105,MODULY_CBA!$B$3:$E$23,2,0),),)</f>
        <v>0</v>
      </c>
      <c r="O105" s="381">
        <f t="shared" si="10"/>
        <v>0</v>
      </c>
      <c r="P105" s="380">
        <f>IFERROR(O105*VLOOKUP(G105,MODULY_CBA!$B$3:$F$23,5,0),)</f>
        <v>0</v>
      </c>
      <c r="Q105" s="482" t="str">
        <f>IFERROR(VLOOKUP(G105,MODULY_CBA!$B$3:$I$23,6,0),"")</f>
        <v/>
      </c>
      <c r="R105" s="378" t="s">
        <v>168</v>
      </c>
      <c r="S105" s="378" t="s">
        <v>168</v>
      </c>
      <c r="T105" s="378" t="s">
        <v>168</v>
      </c>
      <c r="U105" s="378" t="s">
        <v>168</v>
      </c>
      <c r="V105" s="378" t="s">
        <v>168</v>
      </c>
      <c r="W105" s="378" t="s">
        <v>168</v>
      </c>
      <c r="X105" s="378" t="s">
        <v>168</v>
      </c>
      <c r="Y105" s="378" t="s">
        <v>168</v>
      </c>
      <c r="Z105" s="378" t="s">
        <v>168</v>
      </c>
      <c r="AA105" s="378" t="s">
        <v>168</v>
      </c>
      <c r="AB105" s="378" t="s">
        <v>168</v>
      </c>
      <c r="AC105" s="378" t="s">
        <v>168</v>
      </c>
      <c r="AD105" s="378" t="s">
        <v>168</v>
      </c>
      <c r="AE105" s="378" t="s">
        <v>168</v>
      </c>
    </row>
    <row r="106" spans="1:31">
      <c r="A106" s="404"/>
      <c r="B106" s="404"/>
      <c r="C106" s="535"/>
      <c r="D106" s="535"/>
      <c r="E106" s="535"/>
      <c r="F106" s="383"/>
      <c r="G106" s="383"/>
      <c r="H106" s="652"/>
      <c r="I106" s="652"/>
      <c r="J106" s="382">
        <f t="shared" si="9"/>
        <v>0</v>
      </c>
      <c r="K106" s="382">
        <f t="shared" si="8"/>
        <v>0</v>
      </c>
      <c r="L106" s="646">
        <f>IFERROR(IF(B106="funkcna poziadavka",VLOOKUP(G106,MODULY_CBA!$B$3:$E$23,4,0)*H106/SUMIFS($H$3:$H$199,$G$3:$G$199,G106,$B$3:$B$199,B106),),)</f>
        <v>0</v>
      </c>
      <c r="M106" s="382">
        <f>IFERROR(IF(B106="Funkcna poziadavka",VLOOKUP(G106,MODULY_CBA!$B$3:$E$23,3,0),),)</f>
        <v>0</v>
      </c>
      <c r="N106" s="382">
        <f>IFERROR(IF(B106="funkcna poziadavka",VLOOKUP(G106,MODULY_CBA!$B$3:$E$23,2,0),),)</f>
        <v>0</v>
      </c>
      <c r="O106" s="381">
        <f t="shared" si="10"/>
        <v>0</v>
      </c>
      <c r="P106" s="380">
        <f>IFERROR(O106*VLOOKUP(G106,MODULY_CBA!$B$3:$F$23,5,0),)</f>
        <v>0</v>
      </c>
      <c r="Q106" s="482" t="str">
        <f>IFERROR(VLOOKUP(G106,MODULY_CBA!$B$3:$I$23,6,0),"")</f>
        <v/>
      </c>
      <c r="R106" s="378" t="s">
        <v>168</v>
      </c>
      <c r="S106" s="378" t="s">
        <v>168</v>
      </c>
      <c r="T106" s="378" t="s">
        <v>168</v>
      </c>
      <c r="U106" s="378" t="s">
        <v>168</v>
      </c>
      <c r="V106" s="378" t="s">
        <v>168</v>
      </c>
      <c r="W106" s="378" t="s">
        <v>168</v>
      </c>
      <c r="X106" s="378" t="s">
        <v>168</v>
      </c>
      <c r="Y106" s="378" t="s">
        <v>168</v>
      </c>
      <c r="Z106" s="378" t="s">
        <v>168</v>
      </c>
      <c r="AA106" s="378" t="s">
        <v>168</v>
      </c>
      <c r="AB106" s="378" t="s">
        <v>168</v>
      </c>
      <c r="AC106" s="378" t="s">
        <v>168</v>
      </c>
      <c r="AD106" s="378" t="s">
        <v>168</v>
      </c>
      <c r="AE106" s="378" t="s">
        <v>168</v>
      </c>
    </row>
    <row r="107" spans="1:31">
      <c r="A107" s="404"/>
      <c r="B107" s="404"/>
      <c r="C107" s="535"/>
      <c r="D107" s="535"/>
      <c r="E107" s="535"/>
      <c r="F107" s="386"/>
      <c r="G107" s="383"/>
      <c r="H107" s="652"/>
      <c r="I107" s="652"/>
      <c r="J107" s="382">
        <f t="shared" si="9"/>
        <v>0</v>
      </c>
      <c r="K107" s="382">
        <f t="shared" si="8"/>
        <v>0</v>
      </c>
      <c r="L107" s="646">
        <f>IFERROR(IF(B107="funkcna poziadavka",VLOOKUP(G107,MODULY_CBA!$B$3:$E$23,4,0)*H107/SUMIFS($H$3:$H$199,$G$3:$G$199,G107,$B$3:$B$199,B107),),)</f>
        <v>0</v>
      </c>
      <c r="M107" s="382">
        <f>IFERROR(IF(B107="Funkcna poziadavka",VLOOKUP(G107,MODULY_CBA!$B$3:$E$23,3,0),),)</f>
        <v>0</v>
      </c>
      <c r="N107" s="382">
        <f>IFERROR(IF(B107="funkcna poziadavka",VLOOKUP(G107,MODULY_CBA!$B$3:$E$23,2,0),),)</f>
        <v>0</v>
      </c>
      <c r="O107" s="381">
        <f t="shared" si="10"/>
        <v>0</v>
      </c>
      <c r="P107" s="380">
        <f>IFERROR(O107*VLOOKUP(G107,MODULY_CBA!$B$3:$F$23,5,0),)</f>
        <v>0</v>
      </c>
      <c r="Q107" s="482" t="str">
        <f>IFERROR(VLOOKUP(G107,MODULY_CBA!$B$3:$I$23,6,0),"")</f>
        <v/>
      </c>
      <c r="R107" s="385" t="s">
        <v>168</v>
      </c>
      <c r="S107" s="385" t="s">
        <v>168</v>
      </c>
      <c r="T107" s="385" t="s">
        <v>168</v>
      </c>
      <c r="U107" s="385" t="s">
        <v>168</v>
      </c>
      <c r="V107" s="385" t="s">
        <v>168</v>
      </c>
      <c r="W107" s="385" t="s">
        <v>168</v>
      </c>
      <c r="X107" s="385" t="s">
        <v>168</v>
      </c>
      <c r="Y107" s="385" t="s">
        <v>168</v>
      </c>
      <c r="Z107" s="385" t="s">
        <v>168</v>
      </c>
      <c r="AA107" s="385" t="s">
        <v>168</v>
      </c>
      <c r="AB107" s="385" t="s">
        <v>168</v>
      </c>
      <c r="AC107" s="385" t="s">
        <v>168</v>
      </c>
      <c r="AD107" s="385" t="s">
        <v>168</v>
      </c>
      <c r="AE107" s="385" t="s">
        <v>168</v>
      </c>
    </row>
    <row r="108" spans="1:31">
      <c r="A108" s="404"/>
      <c r="B108" s="404"/>
      <c r="C108" s="535"/>
      <c r="D108" s="535"/>
      <c r="E108" s="535"/>
      <c r="F108" s="386"/>
      <c r="G108" s="383"/>
      <c r="H108" s="652"/>
      <c r="I108" s="652"/>
      <c r="J108" s="382">
        <f t="shared" si="9"/>
        <v>0</v>
      </c>
      <c r="K108" s="382">
        <f t="shared" si="8"/>
        <v>0</v>
      </c>
      <c r="L108" s="646">
        <f>IFERROR(IF(B108="funkcna poziadavka",VLOOKUP(G108,MODULY_CBA!$B$3:$E$23,4,0)*H108/SUMIFS($H$3:$H$199,$G$3:$G$199,G108,$B$3:$B$199,B108),),)</f>
        <v>0</v>
      </c>
      <c r="M108" s="382">
        <f>IFERROR(IF(B108="Funkcna poziadavka",VLOOKUP(G108,MODULY_CBA!$B$3:$E$23,3,0),),)</f>
        <v>0</v>
      </c>
      <c r="N108" s="382">
        <f>IFERROR(IF(B108="funkcna poziadavka",VLOOKUP(G108,MODULY_CBA!$B$3:$E$23,2,0),),)</f>
        <v>0</v>
      </c>
      <c r="O108" s="381">
        <f t="shared" si="10"/>
        <v>0</v>
      </c>
      <c r="P108" s="380">
        <f>IFERROR(O108*VLOOKUP(G108,MODULY_CBA!$B$3:$F$23,5,0),)</f>
        <v>0</v>
      </c>
      <c r="Q108" s="482" t="str">
        <f>IFERROR(VLOOKUP(G108,MODULY_CBA!$B$3:$I$23,6,0),"")</f>
        <v/>
      </c>
      <c r="R108" s="385"/>
      <c r="S108" s="385"/>
      <c r="T108" s="385"/>
      <c r="U108" s="385"/>
      <c r="V108" s="385"/>
      <c r="W108" s="385"/>
      <c r="X108" s="385"/>
      <c r="Y108" s="385"/>
      <c r="Z108" s="385"/>
      <c r="AA108" s="385"/>
      <c r="AB108" s="385"/>
      <c r="AC108" s="385"/>
      <c r="AD108" s="385"/>
      <c r="AE108" s="385"/>
    </row>
    <row r="109" spans="1:31">
      <c r="A109" s="404"/>
      <c r="B109" s="404"/>
      <c r="C109" s="535"/>
      <c r="D109" s="535"/>
      <c r="E109" s="535"/>
      <c r="F109" s="386"/>
      <c r="G109" s="383"/>
      <c r="H109" s="652"/>
      <c r="I109" s="652"/>
      <c r="J109" s="382">
        <f t="shared" si="9"/>
        <v>0</v>
      </c>
      <c r="K109" s="382">
        <f t="shared" si="8"/>
        <v>0</v>
      </c>
      <c r="L109" s="646">
        <f>IFERROR(IF(B109="funkcna poziadavka",VLOOKUP(G109,MODULY_CBA!$B$3:$E$23,4,0)*H109/SUMIFS($H$3:$H$199,$G$3:$G$199,G109,$B$3:$B$199,B109),),)</f>
        <v>0</v>
      </c>
      <c r="M109" s="382">
        <f>IFERROR(IF(B109="Funkcna poziadavka",VLOOKUP(G109,MODULY_CBA!$B$3:$E$23,3,0),),)</f>
        <v>0</v>
      </c>
      <c r="N109" s="382">
        <f>IFERROR(IF(B109="funkcna poziadavka",VLOOKUP(G109,MODULY_CBA!$B$3:$E$23,2,0),),)</f>
        <v>0</v>
      </c>
      <c r="O109" s="381">
        <f t="shared" si="10"/>
        <v>0</v>
      </c>
      <c r="P109" s="380">
        <f>IFERROR(O109*VLOOKUP(G109,MODULY_CBA!$B$3:$F$23,5,0),)</f>
        <v>0</v>
      </c>
      <c r="Q109" s="482" t="str">
        <f>IFERROR(VLOOKUP(G109,MODULY_CBA!$B$3:$I$23,6,0),"")</f>
        <v/>
      </c>
      <c r="R109" s="385"/>
      <c r="S109" s="385"/>
      <c r="T109" s="385"/>
      <c r="U109" s="385"/>
      <c r="V109" s="385"/>
      <c r="W109" s="385"/>
      <c r="X109" s="385"/>
      <c r="Y109" s="385"/>
      <c r="Z109" s="385"/>
      <c r="AA109" s="385"/>
      <c r="AB109" s="385"/>
      <c r="AC109" s="385"/>
      <c r="AD109" s="385"/>
      <c r="AE109" s="385"/>
    </row>
    <row r="110" spans="1:31">
      <c r="A110" s="404"/>
      <c r="B110" s="404"/>
      <c r="C110" s="535"/>
      <c r="D110" s="535"/>
      <c r="E110" s="535"/>
      <c r="F110" s="386"/>
      <c r="G110" s="383"/>
      <c r="H110" s="652"/>
      <c r="I110" s="652"/>
      <c r="J110" s="382">
        <f t="shared" si="9"/>
        <v>0</v>
      </c>
      <c r="K110" s="382">
        <f t="shared" si="8"/>
        <v>0</v>
      </c>
      <c r="L110" s="646">
        <f>IFERROR(IF(B110="funkcna poziadavka",VLOOKUP(G110,MODULY_CBA!$B$3:$E$23,4,0)*H110/SUMIFS($H$3:$H$199,$G$3:$G$199,G110,$B$3:$B$199,B110),),)</f>
        <v>0</v>
      </c>
      <c r="M110" s="382">
        <f>IFERROR(IF(B110="Funkcna poziadavka",VLOOKUP(G110,MODULY_CBA!$B$3:$E$23,3,0),),)</f>
        <v>0</v>
      </c>
      <c r="N110" s="382">
        <f>IFERROR(IF(B110="funkcna poziadavka",VLOOKUP(G110,MODULY_CBA!$B$3:$E$23,2,0),),)</f>
        <v>0</v>
      </c>
      <c r="O110" s="381">
        <f t="shared" si="10"/>
        <v>0</v>
      </c>
      <c r="P110" s="380">
        <f>IFERROR(O110*VLOOKUP(G110,MODULY_CBA!$B$3:$F$23,5,0),)</f>
        <v>0</v>
      </c>
      <c r="Q110" s="482" t="str">
        <f>IFERROR(VLOOKUP(G110,MODULY_CBA!$B$3:$I$23,6,0),"")</f>
        <v/>
      </c>
      <c r="R110" s="385"/>
      <c r="S110" s="385"/>
      <c r="T110" s="385"/>
      <c r="U110" s="385"/>
      <c r="V110" s="385"/>
      <c r="W110" s="385"/>
      <c r="X110" s="385"/>
      <c r="Y110" s="385"/>
      <c r="Z110" s="385"/>
      <c r="AA110" s="385"/>
      <c r="AB110" s="385"/>
      <c r="AC110" s="385"/>
      <c r="AD110" s="385"/>
      <c r="AE110" s="385"/>
    </row>
    <row r="111" spans="1:31">
      <c r="A111" s="404"/>
      <c r="B111" s="404"/>
      <c r="C111" s="535"/>
      <c r="D111" s="535"/>
      <c r="E111" s="535"/>
      <c r="F111" s="386"/>
      <c r="G111" s="383"/>
      <c r="H111" s="652"/>
      <c r="I111" s="652"/>
      <c r="J111" s="382">
        <f t="shared" si="9"/>
        <v>0</v>
      </c>
      <c r="K111" s="382">
        <f t="shared" si="8"/>
        <v>0</v>
      </c>
      <c r="L111" s="646">
        <f>IFERROR(IF(B111="funkcna poziadavka",VLOOKUP(G111,MODULY_CBA!$B$3:$E$23,4,0)*H111/SUMIFS($H$3:$H$199,$G$3:$G$199,G111,$B$3:$B$199,B111),),)</f>
        <v>0</v>
      </c>
      <c r="M111" s="382">
        <f>IFERROR(IF(B111="Funkcna poziadavka",VLOOKUP(G111,MODULY_CBA!$B$3:$E$23,3,0),),)</f>
        <v>0</v>
      </c>
      <c r="N111" s="382">
        <f>IFERROR(IF(B111="funkcna poziadavka",VLOOKUP(G111,MODULY_CBA!$B$3:$E$23,2,0),),)</f>
        <v>0</v>
      </c>
      <c r="O111" s="381">
        <f t="shared" si="10"/>
        <v>0</v>
      </c>
      <c r="P111" s="380">
        <f>IFERROR(O111*VLOOKUP(G111,MODULY_CBA!$B$3:$F$23,5,0),)</f>
        <v>0</v>
      </c>
      <c r="Q111" s="482" t="str">
        <f>IFERROR(VLOOKUP(G111,MODULY_CBA!$B$3:$I$23,6,0),"")</f>
        <v/>
      </c>
      <c r="R111" s="385"/>
      <c r="S111" s="385"/>
      <c r="T111" s="385"/>
      <c r="U111" s="385"/>
      <c r="V111" s="385"/>
      <c r="W111" s="385"/>
      <c r="X111" s="385"/>
      <c r="Y111" s="385"/>
      <c r="Z111" s="385"/>
      <c r="AA111" s="385"/>
      <c r="AB111" s="385"/>
      <c r="AC111" s="385"/>
      <c r="AD111" s="385"/>
      <c r="AE111" s="385"/>
    </row>
    <row r="112" spans="1:31">
      <c r="A112" s="404"/>
      <c r="B112" s="404"/>
      <c r="C112" s="535"/>
      <c r="D112" s="535"/>
      <c r="E112" s="535"/>
      <c r="F112" s="386"/>
      <c r="G112" s="383"/>
      <c r="H112" s="652"/>
      <c r="I112" s="652"/>
      <c r="J112" s="382">
        <f t="shared" si="9"/>
        <v>0</v>
      </c>
      <c r="K112" s="382">
        <f t="shared" si="8"/>
        <v>0</v>
      </c>
      <c r="L112" s="646">
        <f>IFERROR(IF(B112="funkcna poziadavka",VLOOKUP(G112,MODULY_CBA!$B$3:$E$23,4,0)*H112/SUMIFS($H$3:$H$199,$G$3:$G$199,G112,$B$3:$B$199,B112),),)</f>
        <v>0</v>
      </c>
      <c r="M112" s="382">
        <f>IFERROR(IF(B112="Funkcna poziadavka",VLOOKUP(G112,MODULY_CBA!$B$3:$E$23,3,0),),)</f>
        <v>0</v>
      </c>
      <c r="N112" s="382">
        <f>IFERROR(IF(B112="funkcna poziadavka",VLOOKUP(G112,MODULY_CBA!$B$3:$E$23,2,0),),)</f>
        <v>0</v>
      </c>
      <c r="O112" s="381">
        <f t="shared" si="10"/>
        <v>0</v>
      </c>
      <c r="P112" s="380">
        <f>IFERROR(O112*VLOOKUP(G112,MODULY_CBA!$B$3:$F$23,5,0),)</f>
        <v>0</v>
      </c>
      <c r="Q112" s="482" t="str">
        <f>IFERROR(VLOOKUP(G112,MODULY_CBA!$B$3:$I$23,6,0),"")</f>
        <v/>
      </c>
      <c r="R112" s="385"/>
      <c r="S112" s="385"/>
      <c r="T112" s="385"/>
      <c r="U112" s="385"/>
      <c r="V112" s="385"/>
      <c r="W112" s="385"/>
      <c r="X112" s="385"/>
      <c r="Y112" s="385"/>
      <c r="Z112" s="385"/>
      <c r="AA112" s="385"/>
      <c r="AB112" s="385"/>
      <c r="AC112" s="385"/>
      <c r="AD112" s="385"/>
      <c r="AE112" s="385"/>
    </row>
    <row r="113" spans="1:31">
      <c r="A113" s="404"/>
      <c r="B113" s="404"/>
      <c r="C113" s="535"/>
      <c r="D113" s="535"/>
      <c r="E113" s="535"/>
      <c r="F113" s="386"/>
      <c r="G113" s="383"/>
      <c r="H113" s="652"/>
      <c r="I113" s="652"/>
      <c r="J113" s="382">
        <f t="shared" si="9"/>
        <v>0</v>
      </c>
      <c r="K113" s="382">
        <f t="shared" si="8"/>
        <v>0</v>
      </c>
      <c r="L113" s="646">
        <f>IFERROR(IF(B113="funkcna poziadavka",VLOOKUP(G113,MODULY_CBA!$B$3:$E$23,4,0)*H113/SUMIFS($H$3:$H$199,$G$3:$G$199,G113,$B$3:$B$199,B113),),)</f>
        <v>0</v>
      </c>
      <c r="M113" s="382">
        <f>IFERROR(IF(B113="Funkcna poziadavka",VLOOKUP(G113,MODULY_CBA!$B$3:$E$23,3,0),),)</f>
        <v>0</v>
      </c>
      <c r="N113" s="382">
        <f>IFERROR(IF(B113="funkcna poziadavka",VLOOKUP(G113,MODULY_CBA!$B$3:$E$23,2,0),),)</f>
        <v>0</v>
      </c>
      <c r="O113" s="381">
        <f t="shared" si="10"/>
        <v>0</v>
      </c>
      <c r="P113" s="380">
        <f>IFERROR(O113*VLOOKUP(G113,MODULY_CBA!$B$3:$F$23,5,0),)</f>
        <v>0</v>
      </c>
      <c r="Q113" s="482" t="str">
        <f>IFERROR(VLOOKUP(G113,MODULY_CBA!$B$3:$I$23,6,0),"")</f>
        <v/>
      </c>
      <c r="R113" s="385"/>
      <c r="S113" s="385"/>
      <c r="T113" s="385"/>
      <c r="U113" s="385"/>
      <c r="V113" s="385"/>
      <c r="W113" s="385"/>
      <c r="X113" s="385"/>
      <c r="Y113" s="385"/>
      <c r="Z113" s="385"/>
      <c r="AA113" s="385"/>
      <c r="AB113" s="385"/>
      <c r="AC113" s="385"/>
      <c r="AD113" s="385"/>
      <c r="AE113" s="385"/>
    </row>
    <row r="114" spans="1:31">
      <c r="A114" s="404"/>
      <c r="B114" s="404"/>
      <c r="C114" s="535"/>
      <c r="D114" s="535"/>
      <c r="E114" s="535"/>
      <c r="F114" s="386"/>
      <c r="G114" s="383"/>
      <c r="H114" s="652"/>
      <c r="I114" s="652"/>
      <c r="J114" s="382">
        <f t="shared" si="9"/>
        <v>0</v>
      </c>
      <c r="K114" s="382">
        <f t="shared" si="8"/>
        <v>0</v>
      </c>
      <c r="L114" s="646">
        <f>IFERROR(IF(B114="funkcna poziadavka",VLOOKUP(G114,MODULY_CBA!$B$3:$E$23,4,0)*H114/SUMIFS($H$3:$H$199,$G$3:$G$199,G114,$B$3:$B$199,B114),),)</f>
        <v>0</v>
      </c>
      <c r="M114" s="382">
        <f>IFERROR(IF(B114="Funkcna poziadavka",VLOOKUP(G114,MODULY_CBA!$B$3:$E$23,3,0),),)</f>
        <v>0</v>
      </c>
      <c r="N114" s="382">
        <f>IFERROR(IF(B114="funkcna poziadavka",VLOOKUP(G114,MODULY_CBA!$B$3:$E$23,2,0),),)</f>
        <v>0</v>
      </c>
      <c r="O114" s="381">
        <f t="shared" si="10"/>
        <v>0</v>
      </c>
      <c r="P114" s="380">
        <f>IFERROR(O114*VLOOKUP(G114,MODULY_CBA!$B$3:$F$23,5,0),)</f>
        <v>0</v>
      </c>
      <c r="Q114" s="482" t="str">
        <f>IFERROR(VLOOKUP(G114,MODULY_CBA!$B$3:$I$23,6,0),"")</f>
        <v/>
      </c>
      <c r="R114" s="385" t="s">
        <v>168</v>
      </c>
      <c r="S114" s="385" t="s">
        <v>168</v>
      </c>
      <c r="T114" s="385" t="s">
        <v>168</v>
      </c>
      <c r="U114" s="385" t="s">
        <v>168</v>
      </c>
      <c r="V114" s="385" t="s">
        <v>168</v>
      </c>
      <c r="W114" s="385" t="s">
        <v>168</v>
      </c>
      <c r="X114" s="385" t="s">
        <v>168</v>
      </c>
      <c r="Y114" s="385" t="s">
        <v>168</v>
      </c>
      <c r="Z114" s="385" t="s">
        <v>168</v>
      </c>
      <c r="AA114" s="385" t="s">
        <v>168</v>
      </c>
      <c r="AB114" s="385" t="s">
        <v>168</v>
      </c>
      <c r="AC114" s="385" t="s">
        <v>168</v>
      </c>
      <c r="AD114" s="385" t="s">
        <v>168</v>
      </c>
      <c r="AE114" s="385" t="s">
        <v>168</v>
      </c>
    </row>
    <row r="115" spans="1:31">
      <c r="A115" s="404"/>
      <c r="B115" s="404"/>
      <c r="C115" s="535"/>
      <c r="D115" s="535"/>
      <c r="E115" s="392"/>
      <c r="F115" s="386"/>
      <c r="G115" s="383"/>
      <c r="H115" s="652"/>
      <c r="I115" s="652"/>
      <c r="J115" s="382">
        <f t="shared" si="9"/>
        <v>0</v>
      </c>
      <c r="K115" s="382">
        <f t="shared" si="8"/>
        <v>0</v>
      </c>
      <c r="L115" s="646">
        <f>IFERROR(IF(B115="funkcna poziadavka",VLOOKUP(G115,MODULY_CBA!$B$3:$E$23,4,0)*H115/SUMIFS($H$3:$H$199,$G$3:$G$199,G115,$B$3:$B$199,B115),),)</f>
        <v>0</v>
      </c>
      <c r="M115" s="382">
        <f>IFERROR(IF(B115="Funkcna poziadavka",VLOOKUP(G115,MODULY_CBA!$B$3:$E$23,3,0),),)</f>
        <v>0</v>
      </c>
      <c r="N115" s="382">
        <f>IFERROR(IF(B115="funkcna poziadavka",VLOOKUP(G115,MODULY_CBA!$B$3:$E$23,2,0),),)</f>
        <v>0</v>
      </c>
      <c r="O115" s="381">
        <f t="shared" si="10"/>
        <v>0</v>
      </c>
      <c r="P115" s="380">
        <f>IFERROR(O115*VLOOKUP(G115,MODULY_CBA!$B$3:$F$23,5,0),)</f>
        <v>0</v>
      </c>
      <c r="Q115" s="482" t="str">
        <f>IFERROR(VLOOKUP(G115,MODULY_CBA!$B$3:$I$23,6,0),"")</f>
        <v/>
      </c>
      <c r="R115" s="385"/>
      <c r="S115" s="385"/>
      <c r="T115" s="385"/>
      <c r="U115" s="385"/>
      <c r="V115" s="385"/>
      <c r="W115" s="385"/>
      <c r="X115" s="385"/>
      <c r="Y115" s="385"/>
      <c r="Z115" s="385"/>
      <c r="AA115" s="385"/>
      <c r="AB115" s="385"/>
      <c r="AC115" s="385"/>
      <c r="AD115" s="385"/>
      <c r="AE115" s="385"/>
    </row>
    <row r="116" spans="1:31">
      <c r="A116" s="404"/>
      <c r="B116" s="404"/>
      <c r="C116" s="535"/>
      <c r="D116" s="535"/>
      <c r="E116" s="392"/>
      <c r="F116" s="386"/>
      <c r="G116" s="383"/>
      <c r="H116" s="652"/>
      <c r="I116" s="652"/>
      <c r="J116" s="382">
        <f t="shared" si="9"/>
        <v>0</v>
      </c>
      <c r="K116" s="382">
        <f t="shared" si="8"/>
        <v>0</v>
      </c>
      <c r="L116" s="646">
        <f>IFERROR(IF(B116="funkcna poziadavka",VLOOKUP(G116,MODULY_CBA!$B$3:$E$23,4,0)*H116/SUMIFS($H$3:$H$199,$G$3:$G$199,G116,$B$3:$B$199,B116),),)</f>
        <v>0</v>
      </c>
      <c r="M116" s="382">
        <f>IFERROR(IF(B116="Funkcna poziadavka",VLOOKUP(G116,MODULY_CBA!$B$3:$E$23,3,0),),)</f>
        <v>0</v>
      </c>
      <c r="N116" s="382">
        <f>IFERROR(IF(B116="funkcna poziadavka",VLOOKUP(G116,MODULY_CBA!$B$3:$E$23,2,0),),)</f>
        <v>0</v>
      </c>
      <c r="O116" s="381">
        <f t="shared" si="10"/>
        <v>0</v>
      </c>
      <c r="P116" s="380">
        <f>IFERROR(O116*VLOOKUP(G116,MODULY_CBA!$B$3:$F$23,5,0),)</f>
        <v>0</v>
      </c>
      <c r="Q116" s="482" t="str">
        <f>IFERROR(VLOOKUP(G116,MODULY_CBA!$B$3:$I$23,6,0),"")</f>
        <v/>
      </c>
      <c r="R116" s="385"/>
      <c r="S116" s="385"/>
      <c r="T116" s="385"/>
      <c r="U116" s="385"/>
      <c r="V116" s="385"/>
      <c r="W116" s="385"/>
      <c r="X116" s="385"/>
      <c r="Y116" s="385"/>
      <c r="Z116" s="385"/>
      <c r="AA116" s="385"/>
      <c r="AB116" s="385"/>
      <c r="AC116" s="385"/>
      <c r="AD116" s="385"/>
      <c r="AE116" s="385"/>
    </row>
    <row r="117" spans="1:31">
      <c r="A117" s="404"/>
      <c r="B117" s="404"/>
      <c r="C117" s="535"/>
      <c r="D117" s="535"/>
      <c r="E117" s="392"/>
      <c r="F117" s="386"/>
      <c r="G117" s="383"/>
      <c r="H117" s="652"/>
      <c r="I117" s="652"/>
      <c r="J117" s="382">
        <f t="shared" si="9"/>
        <v>0</v>
      </c>
      <c r="K117" s="382">
        <f t="shared" si="8"/>
        <v>0</v>
      </c>
      <c r="L117" s="646">
        <f>IFERROR(IF(B117="funkcna poziadavka",VLOOKUP(G117,MODULY_CBA!$B$3:$E$23,4,0)*H117/SUMIFS($H$3:$H$199,$G$3:$G$199,G117,$B$3:$B$199,B117),),)</f>
        <v>0</v>
      </c>
      <c r="M117" s="382">
        <f>IFERROR(IF(B117="Funkcna poziadavka",VLOOKUP(G117,MODULY_CBA!$B$3:$E$23,3,0),),)</f>
        <v>0</v>
      </c>
      <c r="N117" s="382">
        <f>IFERROR(IF(B117="funkcna poziadavka",VLOOKUP(G117,MODULY_CBA!$B$3:$E$23,2,0),),)</f>
        <v>0</v>
      </c>
      <c r="O117" s="381">
        <f t="shared" si="10"/>
        <v>0</v>
      </c>
      <c r="P117" s="380">
        <f>IFERROR(O117*VLOOKUP(G117,MODULY_CBA!$B$3:$F$23,5,0),)</f>
        <v>0</v>
      </c>
      <c r="Q117" s="482" t="str">
        <f>IFERROR(VLOOKUP(G117,MODULY_CBA!$B$3:$I$23,6,0),"")</f>
        <v/>
      </c>
      <c r="R117" s="385"/>
      <c r="S117" s="385"/>
      <c r="T117" s="385"/>
      <c r="U117" s="385"/>
      <c r="V117" s="385"/>
      <c r="W117" s="385"/>
      <c r="X117" s="385"/>
      <c r="Y117" s="385"/>
      <c r="Z117" s="385"/>
      <c r="AA117" s="385"/>
      <c r="AB117" s="385"/>
      <c r="AC117" s="385"/>
      <c r="AD117" s="385"/>
      <c r="AE117" s="385"/>
    </row>
    <row r="118" spans="1:31">
      <c r="A118" s="404"/>
      <c r="B118" s="404"/>
      <c r="C118" s="535"/>
      <c r="D118" s="535"/>
      <c r="E118" s="392"/>
      <c r="F118" s="386"/>
      <c r="G118" s="383"/>
      <c r="H118" s="652"/>
      <c r="I118" s="652"/>
      <c r="J118" s="382">
        <f t="shared" si="9"/>
        <v>0</v>
      </c>
      <c r="K118" s="382">
        <f t="shared" si="8"/>
        <v>0</v>
      </c>
      <c r="L118" s="646">
        <f>IFERROR(IF(B118="funkcna poziadavka",VLOOKUP(G118,MODULY_CBA!$B$3:$E$23,4,0)*H118/SUMIFS($H$3:$H$199,$G$3:$G$199,G118,$B$3:$B$199,B118),),)</f>
        <v>0</v>
      </c>
      <c r="M118" s="382">
        <f>IFERROR(IF(B118="Funkcna poziadavka",VLOOKUP(G118,MODULY_CBA!$B$3:$E$23,3,0),),)</f>
        <v>0</v>
      </c>
      <c r="N118" s="382">
        <f>IFERROR(IF(B118="funkcna poziadavka",VLOOKUP(G118,MODULY_CBA!$B$3:$E$23,2,0),),)</f>
        <v>0</v>
      </c>
      <c r="O118" s="381">
        <f t="shared" si="10"/>
        <v>0</v>
      </c>
      <c r="P118" s="380">
        <f>IFERROR(O118*VLOOKUP(G118,MODULY_CBA!$B$3:$F$23,5,0),)</f>
        <v>0</v>
      </c>
      <c r="Q118" s="482" t="str">
        <f>IFERROR(VLOOKUP(G118,MODULY_CBA!$B$3:$I$23,6,0),"")</f>
        <v/>
      </c>
      <c r="R118" s="385"/>
      <c r="S118" s="385"/>
      <c r="T118" s="385"/>
      <c r="U118" s="385"/>
      <c r="V118" s="385"/>
      <c r="W118" s="385"/>
      <c r="X118" s="385"/>
      <c r="Y118" s="385"/>
      <c r="Z118" s="385"/>
      <c r="AA118" s="385"/>
      <c r="AB118" s="385"/>
      <c r="AC118" s="385"/>
      <c r="AD118" s="385"/>
      <c r="AE118" s="385"/>
    </row>
    <row r="119" spans="1:31">
      <c r="A119" s="404"/>
      <c r="B119" s="404"/>
      <c r="C119" s="392"/>
      <c r="D119" s="535"/>
      <c r="E119" s="392"/>
      <c r="F119" s="386"/>
      <c r="G119" s="383"/>
      <c r="H119" s="652"/>
      <c r="I119" s="652"/>
      <c r="J119" s="382">
        <f t="shared" si="9"/>
        <v>0</v>
      </c>
      <c r="K119" s="382">
        <f t="shared" si="8"/>
        <v>0</v>
      </c>
      <c r="L119" s="646">
        <f>IFERROR(IF(B119="funkcna poziadavka",VLOOKUP(G119,MODULY_CBA!$B$3:$E$23,4,0)*H119/SUMIFS($H$3:$H$199,$G$3:$G$199,G119,$B$3:$B$199,B119),),)</f>
        <v>0</v>
      </c>
      <c r="M119" s="382">
        <f>IFERROR(IF(B119="Funkcna poziadavka",VLOOKUP(G119,MODULY_CBA!$B$3:$E$23,3,0),),)</f>
        <v>0</v>
      </c>
      <c r="N119" s="382">
        <f>IFERROR(IF(B119="funkcna poziadavka",VLOOKUP(G119,MODULY_CBA!$B$3:$E$23,2,0),),)</f>
        <v>0</v>
      </c>
      <c r="O119" s="381">
        <f t="shared" si="10"/>
        <v>0</v>
      </c>
      <c r="P119" s="380">
        <f>IFERROR(O119*VLOOKUP(G119,MODULY_CBA!$B$3:$F$23,5,0),)</f>
        <v>0</v>
      </c>
      <c r="Q119" s="482" t="str">
        <f>IFERROR(VLOOKUP(G119,MODULY_CBA!$B$3:$I$23,6,0),"")</f>
        <v/>
      </c>
      <c r="R119" s="385"/>
      <c r="S119" s="385"/>
      <c r="T119" s="385"/>
      <c r="U119" s="385"/>
      <c r="V119" s="385"/>
      <c r="W119" s="385"/>
      <c r="X119" s="385"/>
      <c r="Y119" s="385"/>
      <c r="Z119" s="385"/>
      <c r="AA119" s="385"/>
      <c r="AB119" s="385"/>
      <c r="AC119" s="385"/>
      <c r="AD119" s="385"/>
      <c r="AE119" s="385"/>
    </row>
    <row r="120" spans="1:31">
      <c r="A120" s="404"/>
      <c r="B120" s="404"/>
      <c r="C120" s="535"/>
      <c r="D120" s="535"/>
      <c r="E120" s="392"/>
      <c r="F120" s="386"/>
      <c r="G120" s="383"/>
      <c r="H120" s="652"/>
      <c r="I120" s="652"/>
      <c r="J120" s="382">
        <f t="shared" si="9"/>
        <v>0</v>
      </c>
      <c r="K120" s="382">
        <f t="shared" si="8"/>
        <v>0</v>
      </c>
      <c r="L120" s="646">
        <f>IFERROR(IF(B120="funkcna poziadavka",VLOOKUP(G120,MODULY_CBA!$B$3:$E$23,4,0)*H120/SUMIFS($H$3:$H$199,$G$3:$G$199,G120,$B$3:$B$199,B120),),)</f>
        <v>0</v>
      </c>
      <c r="M120" s="382">
        <f>IFERROR(IF(B120="Funkcna poziadavka",VLOOKUP(G120,MODULY_CBA!$B$3:$E$23,3,0),),)</f>
        <v>0</v>
      </c>
      <c r="N120" s="382">
        <f>IFERROR(IF(B120="funkcna poziadavka",VLOOKUP(G120,MODULY_CBA!$B$3:$E$23,2,0),),)</f>
        <v>0</v>
      </c>
      <c r="O120" s="381">
        <f t="shared" si="10"/>
        <v>0</v>
      </c>
      <c r="P120" s="380">
        <f>IFERROR(O120*VLOOKUP(G120,MODULY_CBA!$B$3:$F$23,5,0),)</f>
        <v>0</v>
      </c>
      <c r="Q120" s="482" t="str">
        <f>IFERROR(VLOOKUP(G120,MODULY_CBA!$B$3:$I$23,6,0),"")</f>
        <v/>
      </c>
      <c r="R120" s="385"/>
      <c r="S120" s="385"/>
      <c r="T120" s="385"/>
      <c r="U120" s="385"/>
      <c r="V120" s="385"/>
      <c r="W120" s="385"/>
      <c r="X120" s="385"/>
      <c r="Y120" s="385"/>
      <c r="Z120" s="385"/>
      <c r="AA120" s="385"/>
      <c r="AB120" s="385"/>
      <c r="AC120" s="385"/>
      <c r="AD120" s="385"/>
      <c r="AE120" s="385"/>
    </row>
    <row r="121" spans="1:31">
      <c r="A121" s="404"/>
      <c r="B121" s="404"/>
      <c r="C121" s="535"/>
      <c r="D121" s="535"/>
      <c r="E121" s="392"/>
      <c r="F121" s="386"/>
      <c r="G121" s="383"/>
      <c r="H121" s="652"/>
      <c r="I121" s="652"/>
      <c r="J121" s="382">
        <f t="shared" si="9"/>
        <v>0</v>
      </c>
      <c r="K121" s="382">
        <f t="shared" si="8"/>
        <v>0</v>
      </c>
      <c r="L121" s="646">
        <f>IFERROR(IF(B121="funkcna poziadavka",VLOOKUP(G121,MODULY_CBA!$B$3:$E$23,4,0)*H121/SUMIFS($H$3:$H$199,$G$3:$G$199,G121,$B$3:$B$199,B121),),)</f>
        <v>0</v>
      </c>
      <c r="M121" s="382">
        <f>IFERROR(IF(B121="Funkcna poziadavka",VLOOKUP(G121,MODULY_CBA!$B$3:$E$23,3,0),),)</f>
        <v>0</v>
      </c>
      <c r="N121" s="382">
        <f>IFERROR(IF(B121="funkcna poziadavka",VLOOKUP(G121,MODULY_CBA!$B$3:$E$23,2,0),),)</f>
        <v>0</v>
      </c>
      <c r="O121" s="381">
        <f t="shared" si="10"/>
        <v>0</v>
      </c>
      <c r="P121" s="380">
        <f>IFERROR(O121*VLOOKUP(G121,MODULY_CBA!$B$3:$F$23,5,0),)</f>
        <v>0</v>
      </c>
      <c r="Q121" s="482" t="str">
        <f>IFERROR(VLOOKUP(G121,MODULY_CBA!$B$3:$I$23,6,0),"")</f>
        <v/>
      </c>
      <c r="R121" s="385"/>
      <c r="S121" s="385"/>
      <c r="T121" s="385"/>
      <c r="U121" s="385"/>
      <c r="V121" s="385"/>
      <c r="W121" s="385"/>
      <c r="X121" s="385"/>
      <c r="Y121" s="385"/>
      <c r="Z121" s="385"/>
      <c r="AA121" s="385"/>
      <c r="AB121" s="385"/>
      <c r="AC121" s="385"/>
      <c r="AD121" s="385"/>
      <c r="AE121" s="385"/>
    </row>
    <row r="122" spans="1:31">
      <c r="A122" s="404"/>
      <c r="B122" s="404"/>
      <c r="C122" s="535"/>
      <c r="D122" s="535"/>
      <c r="E122" s="392"/>
      <c r="F122" s="386"/>
      <c r="G122" s="383"/>
      <c r="H122" s="652"/>
      <c r="I122" s="652"/>
      <c r="J122" s="382">
        <f t="shared" si="9"/>
        <v>0</v>
      </c>
      <c r="K122" s="382">
        <f t="shared" si="8"/>
        <v>0</v>
      </c>
      <c r="L122" s="646">
        <f>IFERROR(IF(B122="funkcna poziadavka",VLOOKUP(G122,MODULY_CBA!$B$3:$E$23,4,0)*H122/SUMIFS($H$3:$H$199,$G$3:$G$199,G122,$B$3:$B$199,B122),),)</f>
        <v>0</v>
      </c>
      <c r="M122" s="382">
        <f>IFERROR(IF(B122="Funkcna poziadavka",VLOOKUP(G122,MODULY_CBA!$B$3:$E$23,3,0),),)</f>
        <v>0</v>
      </c>
      <c r="N122" s="382">
        <f>IFERROR(IF(B122="funkcna poziadavka",VLOOKUP(G122,MODULY_CBA!$B$3:$E$23,2,0),),)</f>
        <v>0</v>
      </c>
      <c r="O122" s="381">
        <f t="shared" si="10"/>
        <v>0</v>
      </c>
      <c r="P122" s="380">
        <f>IFERROR(O122*VLOOKUP(G122,MODULY_CBA!$B$3:$F$23,5,0),)</f>
        <v>0</v>
      </c>
      <c r="Q122" s="482" t="str">
        <f>IFERROR(VLOOKUP(G122,MODULY_CBA!$B$3:$I$23,6,0),"")</f>
        <v/>
      </c>
      <c r="R122" s="385"/>
      <c r="S122" s="385"/>
      <c r="T122" s="385"/>
      <c r="U122" s="385"/>
      <c r="V122" s="385"/>
      <c r="W122" s="385"/>
      <c r="X122" s="385"/>
      <c r="Y122" s="385"/>
      <c r="Z122" s="385"/>
      <c r="AA122" s="385"/>
      <c r="AB122" s="385"/>
      <c r="AC122" s="385"/>
      <c r="AD122" s="385"/>
      <c r="AE122" s="385"/>
    </row>
    <row r="123" spans="1:31">
      <c r="A123" s="404"/>
      <c r="B123" s="404"/>
      <c r="C123" s="535"/>
      <c r="D123" s="535"/>
      <c r="E123" s="392"/>
      <c r="F123" s="386"/>
      <c r="G123" s="383"/>
      <c r="H123" s="652"/>
      <c r="I123" s="652"/>
      <c r="J123" s="382">
        <f t="shared" si="9"/>
        <v>0</v>
      </c>
      <c r="K123" s="382">
        <f t="shared" si="8"/>
        <v>0</v>
      </c>
      <c r="L123" s="646">
        <f>IFERROR(IF(B123="funkcna poziadavka",VLOOKUP(G123,MODULY_CBA!$B$3:$E$23,4,0)*H123/SUMIFS($H$3:$H$199,$G$3:$G$199,G123,$B$3:$B$199,B123),),)</f>
        <v>0</v>
      </c>
      <c r="M123" s="382">
        <f>IFERROR(IF(B123="Funkcna poziadavka",VLOOKUP(G123,MODULY_CBA!$B$3:$E$23,3,0),),)</f>
        <v>0</v>
      </c>
      <c r="N123" s="382">
        <f>IFERROR(IF(B123="funkcna poziadavka",VLOOKUP(G123,MODULY_CBA!$B$3:$E$23,2,0),),)</f>
        <v>0</v>
      </c>
      <c r="O123" s="381">
        <f t="shared" si="10"/>
        <v>0</v>
      </c>
      <c r="P123" s="380">
        <f>IFERROR(O123*VLOOKUP(G123,MODULY_CBA!$B$3:$F$23,5,0),)</f>
        <v>0</v>
      </c>
      <c r="Q123" s="482" t="str">
        <f>IFERROR(VLOOKUP(G123,MODULY_CBA!$B$3:$I$23,6,0),"")</f>
        <v/>
      </c>
      <c r="R123" s="385"/>
      <c r="S123" s="385"/>
      <c r="T123" s="385"/>
      <c r="U123" s="385"/>
      <c r="V123" s="385"/>
      <c r="W123" s="385"/>
      <c r="X123" s="385"/>
      <c r="Y123" s="385"/>
      <c r="Z123" s="385"/>
      <c r="AA123" s="385"/>
      <c r="AB123" s="385"/>
      <c r="AC123" s="385"/>
      <c r="AD123" s="385"/>
      <c r="AE123" s="385"/>
    </row>
    <row r="124" spans="1:31">
      <c r="A124" s="404"/>
      <c r="B124" s="404"/>
      <c r="C124" s="535"/>
      <c r="D124" s="535"/>
      <c r="E124" s="392"/>
      <c r="F124" s="386"/>
      <c r="G124" s="383"/>
      <c r="H124" s="652"/>
      <c r="I124" s="652"/>
      <c r="J124" s="382">
        <f t="shared" si="9"/>
        <v>0</v>
      </c>
      <c r="K124" s="382">
        <f t="shared" si="8"/>
        <v>0</v>
      </c>
      <c r="L124" s="646">
        <f>IFERROR(IF(B124="funkcna poziadavka",VLOOKUP(G124,MODULY_CBA!$B$3:$E$23,4,0)*H124/SUMIFS($H$3:$H$199,$G$3:$G$199,G124,$B$3:$B$199,B124),),)</f>
        <v>0</v>
      </c>
      <c r="M124" s="382">
        <f>IFERROR(IF(B124="Funkcna poziadavka",VLOOKUP(G124,MODULY_CBA!$B$3:$E$23,3,0),),)</f>
        <v>0</v>
      </c>
      <c r="N124" s="382">
        <f>IFERROR(IF(B124="funkcna poziadavka",VLOOKUP(G124,MODULY_CBA!$B$3:$E$23,2,0),),)</f>
        <v>0</v>
      </c>
      <c r="O124" s="381">
        <f t="shared" si="10"/>
        <v>0</v>
      </c>
      <c r="P124" s="380">
        <f>IFERROR(O124*VLOOKUP(G124,MODULY_CBA!$B$3:$F$23,5,0),)</f>
        <v>0</v>
      </c>
      <c r="Q124" s="482" t="str">
        <f>IFERROR(VLOOKUP(G124,MODULY_CBA!$B$3:$I$23,6,0),"")</f>
        <v/>
      </c>
      <c r="R124" s="385"/>
      <c r="S124" s="385"/>
      <c r="T124" s="385"/>
      <c r="U124" s="385"/>
      <c r="V124" s="385"/>
      <c r="W124" s="385"/>
      <c r="X124" s="385"/>
      <c r="Y124" s="385"/>
      <c r="Z124" s="385"/>
      <c r="AA124" s="385"/>
      <c r="AB124" s="385"/>
      <c r="AC124" s="385"/>
      <c r="AD124" s="385"/>
      <c r="AE124" s="385"/>
    </row>
    <row r="125" spans="1:31">
      <c r="A125" s="404"/>
      <c r="B125" s="404"/>
      <c r="C125" s="535"/>
      <c r="D125" s="535"/>
      <c r="E125" s="392"/>
      <c r="F125" s="386"/>
      <c r="G125" s="383"/>
      <c r="H125" s="652"/>
      <c r="I125" s="652"/>
      <c r="J125" s="382">
        <f t="shared" si="9"/>
        <v>0</v>
      </c>
      <c r="K125" s="382">
        <f t="shared" si="8"/>
        <v>0</v>
      </c>
      <c r="L125" s="646">
        <f>IFERROR(IF(B125="funkcna poziadavka",VLOOKUP(G125,MODULY_CBA!$B$3:$E$23,4,0)*H125/SUMIFS($H$3:$H$199,$G$3:$G$199,G125,$B$3:$B$199,B125),),)</f>
        <v>0</v>
      </c>
      <c r="M125" s="382">
        <f>IFERROR(IF(B125="Funkcna poziadavka",VLOOKUP(G125,MODULY_CBA!$B$3:$E$23,3,0),),)</f>
        <v>0</v>
      </c>
      <c r="N125" s="382">
        <f>IFERROR(IF(B125="funkcna poziadavka",VLOOKUP(G125,MODULY_CBA!$B$3:$E$23,2,0),),)</f>
        <v>0</v>
      </c>
      <c r="O125" s="381">
        <f t="shared" si="10"/>
        <v>0</v>
      </c>
      <c r="P125" s="380">
        <f>IFERROR(O125*VLOOKUP(G125,MODULY_CBA!$B$3:$F$23,5,0),)</f>
        <v>0</v>
      </c>
      <c r="Q125" s="482" t="str">
        <f>IFERROR(VLOOKUP(G125,MODULY_CBA!$B$3:$I$23,6,0),"")</f>
        <v/>
      </c>
      <c r="R125" s="385"/>
      <c r="S125" s="385"/>
      <c r="T125" s="385"/>
      <c r="U125" s="385"/>
      <c r="V125" s="385"/>
      <c r="W125" s="385"/>
      <c r="X125" s="385"/>
      <c r="Y125" s="385"/>
      <c r="Z125" s="385"/>
      <c r="AA125" s="385"/>
      <c r="AB125" s="385"/>
      <c r="AC125" s="385"/>
      <c r="AD125" s="385"/>
      <c r="AE125" s="385"/>
    </row>
    <row r="126" spans="1:31">
      <c r="A126" s="404"/>
      <c r="B126" s="404"/>
      <c r="C126" s="535"/>
      <c r="D126" s="535"/>
      <c r="E126" s="392"/>
      <c r="F126" s="386"/>
      <c r="G126" s="383"/>
      <c r="H126" s="652"/>
      <c r="I126" s="652"/>
      <c r="J126" s="382">
        <f t="shared" si="9"/>
        <v>0</v>
      </c>
      <c r="K126" s="382">
        <f t="shared" si="8"/>
        <v>0</v>
      </c>
      <c r="L126" s="646">
        <f>IFERROR(IF(B126="funkcna poziadavka",VLOOKUP(G126,MODULY_CBA!$B$3:$E$23,4,0)*H126/SUMIFS($H$3:$H$199,$G$3:$G$199,G126,$B$3:$B$199,B126),),)</f>
        <v>0</v>
      </c>
      <c r="M126" s="382">
        <f>IFERROR(IF(B126="Funkcna poziadavka",VLOOKUP(G126,MODULY_CBA!$B$3:$E$23,3,0),),)</f>
        <v>0</v>
      </c>
      <c r="N126" s="382">
        <f>IFERROR(IF(B126="funkcna poziadavka",VLOOKUP(G126,MODULY_CBA!$B$3:$E$23,2,0),),)</f>
        <v>0</v>
      </c>
      <c r="O126" s="381">
        <f t="shared" si="10"/>
        <v>0</v>
      </c>
      <c r="P126" s="380">
        <f>IFERROR(O126*VLOOKUP(G126,MODULY_CBA!$B$3:$F$23,5,0),)</f>
        <v>0</v>
      </c>
      <c r="Q126" s="482" t="str">
        <f>IFERROR(VLOOKUP(G126,MODULY_CBA!$B$3:$I$23,6,0),"")</f>
        <v/>
      </c>
      <c r="R126" s="385"/>
      <c r="S126" s="385"/>
      <c r="T126" s="385"/>
      <c r="U126" s="385"/>
      <c r="V126" s="385"/>
      <c r="W126" s="385"/>
      <c r="X126" s="385"/>
      <c r="Y126" s="385"/>
      <c r="Z126" s="385"/>
      <c r="AA126" s="385"/>
      <c r="AB126" s="385"/>
      <c r="AC126" s="385"/>
      <c r="AD126" s="385"/>
      <c r="AE126" s="385"/>
    </row>
    <row r="127" spans="1:31">
      <c r="A127" s="404"/>
      <c r="B127" s="404"/>
      <c r="C127" s="535"/>
      <c r="D127" s="535"/>
      <c r="E127" s="392"/>
      <c r="F127" s="386"/>
      <c r="G127" s="383"/>
      <c r="H127" s="652"/>
      <c r="I127" s="652"/>
      <c r="J127" s="382">
        <f t="shared" si="9"/>
        <v>0</v>
      </c>
      <c r="K127" s="382">
        <f t="shared" si="8"/>
        <v>0</v>
      </c>
      <c r="L127" s="646">
        <f>IFERROR(IF(B127="funkcna poziadavka",VLOOKUP(G127,MODULY_CBA!$B$3:$E$23,4,0)*H127/SUMIFS($H$3:$H$199,$G$3:$G$199,G127,$B$3:$B$199,B127),),)</f>
        <v>0</v>
      </c>
      <c r="M127" s="382">
        <f>IFERROR(IF(B127="Funkcna poziadavka",VLOOKUP(G127,MODULY_CBA!$B$3:$E$23,3,0),),)</f>
        <v>0</v>
      </c>
      <c r="N127" s="382">
        <f>IFERROR(IF(B127="funkcna poziadavka",VLOOKUP(G127,MODULY_CBA!$B$3:$E$23,2,0),),)</f>
        <v>0</v>
      </c>
      <c r="O127" s="381">
        <f t="shared" si="10"/>
        <v>0</v>
      </c>
      <c r="P127" s="380">
        <f>IFERROR(O127*VLOOKUP(G127,MODULY_CBA!$B$3:$F$23,5,0),)</f>
        <v>0</v>
      </c>
      <c r="Q127" s="482" t="str">
        <f>IFERROR(VLOOKUP(G127,MODULY_CBA!$B$3:$I$23,6,0),"")</f>
        <v/>
      </c>
      <c r="R127" s="385"/>
      <c r="S127" s="385"/>
      <c r="T127" s="385"/>
      <c r="U127" s="385"/>
      <c r="V127" s="385"/>
      <c r="W127" s="385"/>
      <c r="X127" s="385"/>
      <c r="Y127" s="385"/>
      <c r="Z127" s="385"/>
      <c r="AA127" s="385"/>
      <c r="AB127" s="385"/>
      <c r="AC127" s="385"/>
      <c r="AD127" s="385"/>
      <c r="AE127" s="385"/>
    </row>
    <row r="128" spans="1:31">
      <c r="A128" s="404"/>
      <c r="B128" s="404"/>
      <c r="C128" s="535"/>
      <c r="D128" s="535"/>
      <c r="E128" s="535"/>
      <c r="F128" s="386"/>
      <c r="G128" s="383"/>
      <c r="H128" s="652"/>
      <c r="I128" s="652"/>
      <c r="J128" s="382">
        <f t="shared" si="9"/>
        <v>0</v>
      </c>
      <c r="K128" s="382">
        <f t="shared" si="8"/>
        <v>0</v>
      </c>
      <c r="L128" s="646">
        <f>IFERROR(IF(B128="funkcna poziadavka",VLOOKUP(G128,MODULY_CBA!$B$3:$E$23,4,0)*H128/SUMIFS($H$3:$H$199,$G$3:$G$199,G128,$B$3:$B$199,B128),),)</f>
        <v>0</v>
      </c>
      <c r="M128" s="382">
        <f>IFERROR(IF(B128="Funkcna poziadavka",VLOOKUP(G128,MODULY_CBA!$B$3:$E$23,3,0),),)</f>
        <v>0</v>
      </c>
      <c r="N128" s="382">
        <f>IFERROR(IF(B128="funkcna poziadavka",VLOOKUP(G128,MODULY_CBA!$B$3:$E$23,2,0),),)</f>
        <v>0</v>
      </c>
      <c r="O128" s="381">
        <f t="shared" si="10"/>
        <v>0</v>
      </c>
      <c r="P128" s="380">
        <f>IFERROR(O128*VLOOKUP(G128,MODULY_CBA!$B$3:$F$23,5,0),)</f>
        <v>0</v>
      </c>
      <c r="Q128" s="482" t="str">
        <f>IFERROR(VLOOKUP(G128,MODULY_CBA!$B$3:$I$23,6,0),"")</f>
        <v/>
      </c>
      <c r="R128" s="385" t="s">
        <v>168</v>
      </c>
      <c r="S128" s="385" t="s">
        <v>168</v>
      </c>
      <c r="T128" s="385" t="s">
        <v>168</v>
      </c>
      <c r="U128" s="385" t="s">
        <v>168</v>
      </c>
      <c r="V128" s="385" t="s">
        <v>168</v>
      </c>
      <c r="W128" s="385" t="s">
        <v>168</v>
      </c>
      <c r="X128" s="385" t="s">
        <v>168</v>
      </c>
      <c r="Y128" s="385" t="s">
        <v>168</v>
      </c>
      <c r="Z128" s="385" t="s">
        <v>168</v>
      </c>
      <c r="AA128" s="385" t="s">
        <v>168</v>
      </c>
      <c r="AB128" s="385" t="s">
        <v>168</v>
      </c>
      <c r="AC128" s="385" t="s">
        <v>168</v>
      </c>
      <c r="AD128" s="385" t="s">
        <v>168</v>
      </c>
      <c r="AE128" s="385" t="s">
        <v>168</v>
      </c>
    </row>
    <row r="129" spans="1:31">
      <c r="A129" s="404"/>
      <c r="B129" s="404"/>
      <c r="C129" s="535"/>
      <c r="D129" s="535"/>
      <c r="E129" s="535"/>
      <c r="F129" s="386"/>
      <c r="G129" s="383"/>
      <c r="H129" s="652"/>
      <c r="I129" s="652"/>
      <c r="J129" s="382">
        <f t="shared" si="9"/>
        <v>0</v>
      </c>
      <c r="K129" s="382">
        <f t="shared" si="8"/>
        <v>0</v>
      </c>
      <c r="L129" s="646">
        <f>IFERROR(IF(B129="funkcna poziadavka",VLOOKUP(G129,MODULY_CBA!$B$3:$E$23,4,0)*H129/SUMIFS($H$3:$H$199,$G$3:$G$199,G129,$B$3:$B$199,B129),),)</f>
        <v>0</v>
      </c>
      <c r="M129" s="382">
        <f>IFERROR(IF(B129="Funkcna poziadavka",VLOOKUP(G129,MODULY_CBA!$B$3:$E$23,3,0),),)</f>
        <v>0</v>
      </c>
      <c r="N129" s="382">
        <f>IFERROR(IF(B129="funkcna poziadavka",VLOOKUP(G129,MODULY_CBA!$B$3:$E$23,2,0),),)</f>
        <v>0</v>
      </c>
      <c r="O129" s="381">
        <f t="shared" si="10"/>
        <v>0</v>
      </c>
      <c r="P129" s="380">
        <f>IFERROR(O129*VLOOKUP(G129,MODULY_CBA!$B$3:$F$23,5,0),)</f>
        <v>0</v>
      </c>
      <c r="Q129" s="482" t="str">
        <f>IFERROR(VLOOKUP(G129,MODULY_CBA!$B$3:$I$23,6,0),"")</f>
        <v/>
      </c>
      <c r="R129" s="385"/>
      <c r="S129" s="385"/>
      <c r="T129" s="385"/>
      <c r="U129" s="385"/>
      <c r="V129" s="385"/>
      <c r="W129" s="385"/>
      <c r="X129" s="385"/>
      <c r="Y129" s="385"/>
      <c r="Z129" s="385"/>
      <c r="AA129" s="385"/>
      <c r="AB129" s="385"/>
      <c r="AC129" s="385"/>
      <c r="AD129" s="385"/>
      <c r="AE129" s="385"/>
    </row>
    <row r="130" spans="1:31">
      <c r="A130" s="404"/>
      <c r="B130" s="404"/>
      <c r="C130" s="535"/>
      <c r="D130" s="535"/>
      <c r="E130" s="535"/>
      <c r="F130" s="386"/>
      <c r="G130" s="383"/>
      <c r="H130" s="652"/>
      <c r="I130" s="652"/>
      <c r="J130" s="382">
        <f t="shared" si="9"/>
        <v>0</v>
      </c>
      <c r="K130" s="382">
        <f t="shared" si="8"/>
        <v>0</v>
      </c>
      <c r="L130" s="646">
        <f>IFERROR(IF(B130="funkcna poziadavka",VLOOKUP(G130,MODULY_CBA!$B$3:$E$23,4,0)*H130/SUMIFS($H$3:$H$199,$G$3:$G$199,G130,$B$3:$B$199,B130),),)</f>
        <v>0</v>
      </c>
      <c r="M130" s="382">
        <f>IFERROR(IF(B130="Funkcna poziadavka",VLOOKUP(G130,MODULY_CBA!$B$3:$E$23,3,0),),)</f>
        <v>0</v>
      </c>
      <c r="N130" s="382">
        <f>IFERROR(IF(B130="funkcna poziadavka",VLOOKUP(G130,MODULY_CBA!$B$3:$E$23,2,0),),)</f>
        <v>0</v>
      </c>
      <c r="O130" s="381">
        <f t="shared" si="10"/>
        <v>0</v>
      </c>
      <c r="P130" s="380">
        <f>IFERROR(O130*VLOOKUP(G130,MODULY_CBA!$B$3:$F$23,5,0),)</f>
        <v>0</v>
      </c>
      <c r="Q130" s="482" t="str">
        <f>IFERROR(VLOOKUP(G130,MODULY_CBA!$B$3:$I$23,6,0),"")</f>
        <v/>
      </c>
      <c r="R130" s="385"/>
      <c r="S130" s="385"/>
      <c r="T130" s="385"/>
      <c r="U130" s="385"/>
      <c r="V130" s="385"/>
      <c r="W130" s="385"/>
      <c r="X130" s="385"/>
      <c r="Y130" s="385"/>
      <c r="Z130" s="385"/>
      <c r="AA130" s="385"/>
      <c r="AB130" s="385"/>
      <c r="AC130" s="385"/>
      <c r="AD130" s="385"/>
      <c r="AE130" s="385"/>
    </row>
    <row r="131" spans="1:31">
      <c r="A131" s="404"/>
      <c r="B131" s="404"/>
      <c r="C131" s="535"/>
      <c r="D131" s="535"/>
      <c r="E131" s="535"/>
      <c r="F131" s="386"/>
      <c r="G131" s="383"/>
      <c r="H131" s="652"/>
      <c r="I131" s="652"/>
      <c r="J131" s="382">
        <f t="shared" ref="J131:J162" si="11">IF(ISNUMBER(H131),H131,)</f>
        <v>0</v>
      </c>
      <c r="K131" s="382">
        <f t="shared" si="8"/>
        <v>0</v>
      </c>
      <c r="L131" s="646">
        <f>IFERROR(IF(B131="funkcna poziadavka",VLOOKUP(G131,MODULY_CBA!$B$3:$E$23,4,0)*H131/SUMIFS($H$3:$H$199,$G$3:$G$199,G131,$B$3:$B$199,B131),),)</f>
        <v>0</v>
      </c>
      <c r="M131" s="382">
        <f>IFERROR(IF(B131="Funkcna poziadavka",VLOOKUP(G131,MODULY_CBA!$B$3:$E$23,3,0),),)</f>
        <v>0</v>
      </c>
      <c r="N131" s="382">
        <f>IFERROR(IF(B131="funkcna poziadavka",VLOOKUP(G131,MODULY_CBA!$B$3:$E$23,2,0),),)</f>
        <v>0</v>
      </c>
      <c r="O131" s="381">
        <f t="shared" ref="O131:O162" si="12">(K131+L131)*M131*N131</f>
        <v>0</v>
      </c>
      <c r="P131" s="380">
        <f>IFERROR(O131*VLOOKUP(G131,MODULY_CBA!$B$3:$F$23,5,0),)</f>
        <v>0</v>
      </c>
      <c r="Q131" s="482" t="str">
        <f>IFERROR(VLOOKUP(G131,MODULY_CBA!$B$3:$I$23,6,0),"")</f>
        <v/>
      </c>
      <c r="R131" s="385"/>
      <c r="S131" s="385"/>
      <c r="T131" s="385"/>
      <c r="U131" s="385"/>
      <c r="V131" s="385"/>
      <c r="W131" s="385"/>
      <c r="X131" s="385"/>
      <c r="Y131" s="385"/>
      <c r="Z131" s="385"/>
      <c r="AA131" s="385"/>
      <c r="AB131" s="385"/>
      <c r="AC131" s="385"/>
      <c r="AD131" s="385"/>
      <c r="AE131" s="385"/>
    </row>
    <row r="132" spans="1:31">
      <c r="A132" s="404"/>
      <c r="B132" s="404"/>
      <c r="C132" s="535"/>
      <c r="D132" s="535"/>
      <c r="E132" s="535"/>
      <c r="F132" s="386"/>
      <c r="G132" s="383"/>
      <c r="H132" s="652"/>
      <c r="I132" s="652"/>
      <c r="J132" s="382">
        <f t="shared" si="11"/>
        <v>0</v>
      </c>
      <c r="K132" s="382">
        <f t="shared" ref="K132:K169" si="13">H132*I132</f>
        <v>0</v>
      </c>
      <c r="L132" s="646">
        <f>IFERROR(IF(B132="funkcna poziadavka",VLOOKUP(G132,MODULY_CBA!$B$3:$E$23,4,0)*H132/SUMIFS($H$3:$H$199,$G$3:$G$199,G132,$B$3:$B$199,B132),),)</f>
        <v>0</v>
      </c>
      <c r="M132" s="382">
        <f>IFERROR(IF(B132="Funkcna poziadavka",VLOOKUP(G132,MODULY_CBA!$B$3:$E$23,3,0),),)</f>
        <v>0</v>
      </c>
      <c r="N132" s="382">
        <f>IFERROR(IF(B132="funkcna poziadavka",VLOOKUP(G132,MODULY_CBA!$B$3:$E$23,2,0),),)</f>
        <v>0</v>
      </c>
      <c r="O132" s="381">
        <f t="shared" si="12"/>
        <v>0</v>
      </c>
      <c r="P132" s="380">
        <f>IFERROR(O132*VLOOKUP(G132,MODULY_CBA!$B$3:$F$23,5,0),)</f>
        <v>0</v>
      </c>
      <c r="Q132" s="482" t="str">
        <f>IFERROR(VLOOKUP(G132,MODULY_CBA!$B$3:$I$23,6,0),"")</f>
        <v/>
      </c>
      <c r="R132" s="385"/>
      <c r="S132" s="385"/>
      <c r="T132" s="385"/>
      <c r="U132" s="385"/>
      <c r="V132" s="385"/>
      <c r="W132" s="385"/>
      <c r="X132" s="385"/>
      <c r="Y132" s="385"/>
      <c r="Z132" s="385"/>
      <c r="AA132" s="385"/>
      <c r="AB132" s="385"/>
      <c r="AC132" s="385"/>
      <c r="AD132" s="385"/>
      <c r="AE132" s="385"/>
    </row>
    <row r="133" spans="1:31">
      <c r="A133" s="404"/>
      <c r="B133" s="404"/>
      <c r="C133" s="535"/>
      <c r="D133" s="535"/>
      <c r="E133" s="535"/>
      <c r="F133" s="386"/>
      <c r="G133" s="383"/>
      <c r="H133" s="652"/>
      <c r="I133" s="652"/>
      <c r="J133" s="382">
        <f t="shared" si="11"/>
        <v>0</v>
      </c>
      <c r="K133" s="382">
        <f t="shared" si="13"/>
        <v>0</v>
      </c>
      <c r="L133" s="646">
        <f>IFERROR(IF(B133="funkcna poziadavka",VLOOKUP(G133,MODULY_CBA!$B$3:$E$23,4,0)*H133/SUMIFS($H$3:$H$199,$G$3:$G$199,G133,$B$3:$B$199,B133),),)</f>
        <v>0</v>
      </c>
      <c r="M133" s="382">
        <f>IFERROR(IF(B133="Funkcna poziadavka",VLOOKUP(G133,MODULY_CBA!$B$3:$E$23,3,0),),)</f>
        <v>0</v>
      </c>
      <c r="N133" s="382">
        <f>IFERROR(IF(B133="funkcna poziadavka",VLOOKUP(G133,MODULY_CBA!$B$3:$E$23,2,0),),)</f>
        <v>0</v>
      </c>
      <c r="O133" s="381">
        <f t="shared" si="12"/>
        <v>0</v>
      </c>
      <c r="P133" s="380">
        <f>IFERROR(O133*VLOOKUP(G133,MODULY_CBA!$B$3:$F$23,5,0),)</f>
        <v>0</v>
      </c>
      <c r="Q133" s="482" t="str">
        <f>IFERROR(VLOOKUP(G133,MODULY_CBA!$B$3:$I$23,6,0),"")</f>
        <v/>
      </c>
      <c r="R133" s="385"/>
      <c r="S133" s="385"/>
      <c r="T133" s="385"/>
      <c r="U133" s="385"/>
      <c r="V133" s="385"/>
      <c r="W133" s="385"/>
      <c r="X133" s="385"/>
      <c r="Y133" s="385"/>
      <c r="Z133" s="385"/>
      <c r="AA133" s="385"/>
      <c r="AB133" s="385"/>
      <c r="AC133" s="385"/>
      <c r="AD133" s="385"/>
      <c r="AE133" s="385"/>
    </row>
    <row r="134" spans="1:31">
      <c r="A134" s="404"/>
      <c r="B134" s="404"/>
      <c r="C134" s="535"/>
      <c r="D134" s="535"/>
      <c r="E134" s="535"/>
      <c r="F134" s="386"/>
      <c r="G134" s="383"/>
      <c r="H134" s="652"/>
      <c r="I134" s="652"/>
      <c r="J134" s="382">
        <f t="shared" si="11"/>
        <v>0</v>
      </c>
      <c r="K134" s="382">
        <f t="shared" si="13"/>
        <v>0</v>
      </c>
      <c r="L134" s="646">
        <f>IFERROR(IF(B134="funkcna poziadavka",VLOOKUP(G134,MODULY_CBA!$B$3:$E$23,4,0)*H134/SUMIFS($H$3:$H$199,$G$3:$G$199,G134,$B$3:$B$199,B134),),)</f>
        <v>0</v>
      </c>
      <c r="M134" s="382">
        <f>IFERROR(IF(B134="Funkcna poziadavka",VLOOKUP(G134,MODULY_CBA!$B$3:$E$23,3,0),),)</f>
        <v>0</v>
      </c>
      <c r="N134" s="382">
        <f>IFERROR(IF(B134="funkcna poziadavka",VLOOKUP(G134,MODULY_CBA!$B$3:$E$23,2,0),),)</f>
        <v>0</v>
      </c>
      <c r="O134" s="381">
        <f t="shared" si="12"/>
        <v>0</v>
      </c>
      <c r="P134" s="380">
        <f>IFERROR(O134*VLOOKUP(G134,MODULY_CBA!$B$3:$F$23,5,0),)</f>
        <v>0</v>
      </c>
      <c r="Q134" s="482" t="str">
        <f>IFERROR(VLOOKUP(G134,MODULY_CBA!$B$3:$I$23,6,0),"")</f>
        <v/>
      </c>
      <c r="R134" s="385" t="s">
        <v>168</v>
      </c>
      <c r="S134" s="385" t="s">
        <v>168</v>
      </c>
      <c r="T134" s="385" t="s">
        <v>168</v>
      </c>
      <c r="U134" s="385" t="s">
        <v>168</v>
      </c>
      <c r="V134" s="385" t="s">
        <v>168</v>
      </c>
      <c r="W134" s="385" t="s">
        <v>168</v>
      </c>
      <c r="X134" s="385" t="s">
        <v>168</v>
      </c>
      <c r="Y134" s="385" t="s">
        <v>168</v>
      </c>
      <c r="Z134" s="385" t="s">
        <v>168</v>
      </c>
      <c r="AA134" s="385" t="s">
        <v>168</v>
      </c>
      <c r="AB134" s="385" t="s">
        <v>168</v>
      </c>
      <c r="AC134" s="385" t="s">
        <v>168</v>
      </c>
      <c r="AD134" s="385" t="s">
        <v>168</v>
      </c>
      <c r="AE134" s="385" t="s">
        <v>168</v>
      </c>
    </row>
    <row r="135" spans="1:31">
      <c r="A135" s="404"/>
      <c r="B135" s="404"/>
      <c r="C135" s="535"/>
      <c r="D135" s="535"/>
      <c r="E135" s="535"/>
      <c r="F135" s="386"/>
      <c r="G135" s="383"/>
      <c r="H135" s="652"/>
      <c r="I135" s="652"/>
      <c r="J135" s="382">
        <f t="shared" si="11"/>
        <v>0</v>
      </c>
      <c r="K135" s="382">
        <f t="shared" si="13"/>
        <v>0</v>
      </c>
      <c r="L135" s="646">
        <f>IFERROR(IF(B135="funkcna poziadavka",VLOOKUP(G135,MODULY_CBA!$B$3:$E$23,4,0)*H135/SUMIFS($H$3:$H$199,$G$3:$G$199,G135,$B$3:$B$199,B135),),)</f>
        <v>0</v>
      </c>
      <c r="M135" s="382">
        <f>IFERROR(IF(B135="Funkcna poziadavka",VLOOKUP(G135,MODULY_CBA!$B$3:$E$23,3,0),),)</f>
        <v>0</v>
      </c>
      <c r="N135" s="382">
        <f>IFERROR(IF(B135="funkcna poziadavka",VLOOKUP(G135,MODULY_CBA!$B$3:$E$23,2,0),),)</f>
        <v>0</v>
      </c>
      <c r="O135" s="381">
        <f t="shared" si="12"/>
        <v>0</v>
      </c>
      <c r="P135" s="380">
        <f>IFERROR(O135*VLOOKUP(G135,MODULY_CBA!$B$3:$F$23,5,0),)</f>
        <v>0</v>
      </c>
      <c r="Q135" s="482" t="str">
        <f>IFERROR(VLOOKUP(G135,MODULY_CBA!$B$3:$I$23,6,0),"")</f>
        <v/>
      </c>
      <c r="R135" s="385" t="s">
        <v>168</v>
      </c>
      <c r="S135" s="385" t="s">
        <v>168</v>
      </c>
      <c r="T135" s="385" t="s">
        <v>168</v>
      </c>
      <c r="U135" s="385" t="s">
        <v>168</v>
      </c>
      <c r="V135" s="385" t="s">
        <v>168</v>
      </c>
      <c r="W135" s="385" t="s">
        <v>168</v>
      </c>
      <c r="X135" s="385" t="s">
        <v>168</v>
      </c>
      <c r="Y135" s="385" t="s">
        <v>168</v>
      </c>
      <c r="Z135" s="385" t="s">
        <v>168</v>
      </c>
      <c r="AA135" s="385" t="s">
        <v>168</v>
      </c>
      <c r="AB135" s="385" t="s">
        <v>168</v>
      </c>
      <c r="AC135" s="385" t="s">
        <v>168</v>
      </c>
      <c r="AD135" s="385" t="s">
        <v>168</v>
      </c>
      <c r="AE135" s="385" t="s">
        <v>168</v>
      </c>
    </row>
    <row r="136" spans="1:31">
      <c r="A136" s="404"/>
      <c r="B136" s="404"/>
      <c r="C136" s="535"/>
      <c r="D136" s="535"/>
      <c r="E136" s="535"/>
      <c r="F136" s="386"/>
      <c r="G136" s="383"/>
      <c r="H136" s="652"/>
      <c r="I136" s="652"/>
      <c r="J136" s="382">
        <f t="shared" si="11"/>
        <v>0</v>
      </c>
      <c r="K136" s="382">
        <f t="shared" si="13"/>
        <v>0</v>
      </c>
      <c r="L136" s="646">
        <f>IFERROR(IF(B136="funkcna poziadavka",VLOOKUP(G136,MODULY_CBA!$B$3:$E$23,4,0)*H136/SUMIFS($H$3:$H$199,$G$3:$G$199,G136,$B$3:$B$199,B136),),)</f>
        <v>0</v>
      </c>
      <c r="M136" s="382">
        <f>IFERROR(IF(B136="Funkcna poziadavka",VLOOKUP(G136,MODULY_CBA!$B$3:$E$23,3,0),),)</f>
        <v>0</v>
      </c>
      <c r="N136" s="382">
        <f>IFERROR(IF(B136="funkcna poziadavka",VLOOKUP(G136,MODULY_CBA!$B$3:$E$23,2,0),),)</f>
        <v>0</v>
      </c>
      <c r="O136" s="381">
        <f t="shared" si="12"/>
        <v>0</v>
      </c>
      <c r="P136" s="380">
        <f>IFERROR(O136*VLOOKUP(G136,MODULY_CBA!$B$3:$F$23,5,0),)</f>
        <v>0</v>
      </c>
      <c r="Q136" s="482" t="str">
        <f>IFERROR(VLOOKUP(G136,MODULY_CBA!$B$3:$I$23,6,0),"")</f>
        <v/>
      </c>
      <c r="R136" s="385"/>
      <c r="S136" s="385"/>
      <c r="T136" s="385"/>
      <c r="U136" s="385"/>
      <c r="V136" s="385"/>
      <c r="W136" s="385"/>
      <c r="X136" s="385"/>
      <c r="Y136" s="385"/>
      <c r="Z136" s="385"/>
      <c r="AA136" s="385"/>
      <c r="AB136" s="385"/>
      <c r="AC136" s="385"/>
      <c r="AD136" s="385"/>
      <c r="AE136" s="385"/>
    </row>
    <row r="137" spans="1:31">
      <c r="A137" s="404"/>
      <c r="B137" s="404"/>
      <c r="C137" s="535"/>
      <c r="D137" s="535"/>
      <c r="E137" s="535"/>
      <c r="F137" s="386"/>
      <c r="G137" s="383"/>
      <c r="H137" s="652"/>
      <c r="I137" s="652"/>
      <c r="J137" s="382">
        <f t="shared" si="11"/>
        <v>0</v>
      </c>
      <c r="K137" s="382">
        <f t="shared" si="13"/>
        <v>0</v>
      </c>
      <c r="L137" s="646">
        <f>IFERROR(IF(B137="funkcna poziadavka",VLOOKUP(G137,MODULY_CBA!$B$3:$E$23,4,0)*H137/SUMIFS($H$3:$H$199,$G$3:$G$199,G137,$B$3:$B$199,B137),),)</f>
        <v>0</v>
      </c>
      <c r="M137" s="382">
        <f>IFERROR(IF(B137="Funkcna poziadavka",VLOOKUP(G137,MODULY_CBA!$B$3:$E$23,3,0),),)</f>
        <v>0</v>
      </c>
      <c r="N137" s="382">
        <f>IFERROR(IF(B137="funkcna poziadavka",VLOOKUP(G137,MODULY_CBA!$B$3:$E$23,2,0),),)</f>
        <v>0</v>
      </c>
      <c r="O137" s="381">
        <f t="shared" si="12"/>
        <v>0</v>
      </c>
      <c r="P137" s="380">
        <f>IFERROR(O137*VLOOKUP(G137,MODULY_CBA!$B$3:$F$23,5,0),)</f>
        <v>0</v>
      </c>
      <c r="Q137" s="482" t="str">
        <f>IFERROR(VLOOKUP(G137,MODULY_CBA!$B$3:$I$23,6,0),"")</f>
        <v/>
      </c>
      <c r="R137" s="385"/>
      <c r="S137" s="385"/>
      <c r="T137" s="385"/>
      <c r="U137" s="385"/>
      <c r="V137" s="385"/>
      <c r="W137" s="385"/>
      <c r="X137" s="385"/>
      <c r="Y137" s="385"/>
      <c r="Z137" s="385"/>
      <c r="AA137" s="385"/>
      <c r="AB137" s="385"/>
      <c r="AC137" s="385"/>
      <c r="AD137" s="385"/>
      <c r="AE137" s="385"/>
    </row>
    <row r="138" spans="1:31">
      <c r="A138" s="404"/>
      <c r="B138" s="404"/>
      <c r="C138" s="535"/>
      <c r="D138" s="535"/>
      <c r="E138" s="535"/>
      <c r="F138" s="386"/>
      <c r="G138" s="383"/>
      <c r="H138" s="652"/>
      <c r="I138" s="652"/>
      <c r="J138" s="382">
        <f t="shared" si="11"/>
        <v>0</v>
      </c>
      <c r="K138" s="382">
        <f t="shared" si="13"/>
        <v>0</v>
      </c>
      <c r="L138" s="646">
        <f>IFERROR(IF(B138="funkcna poziadavka",VLOOKUP(G138,MODULY_CBA!$B$3:$E$23,4,0)*H138/SUMIFS($H$3:$H$199,$G$3:$G$199,G138,$B$3:$B$199,B138),),)</f>
        <v>0</v>
      </c>
      <c r="M138" s="382">
        <f>IFERROR(IF(B138="Funkcna poziadavka",VLOOKUP(G138,MODULY_CBA!$B$3:$E$23,3,0),),)</f>
        <v>0</v>
      </c>
      <c r="N138" s="382">
        <f>IFERROR(IF(B138="funkcna poziadavka",VLOOKUP(G138,MODULY_CBA!$B$3:$E$23,2,0),),)</f>
        <v>0</v>
      </c>
      <c r="O138" s="381">
        <f t="shared" si="12"/>
        <v>0</v>
      </c>
      <c r="P138" s="380">
        <f>IFERROR(O138*VLOOKUP(G138,MODULY_CBA!$B$3:$F$23,5,0),)</f>
        <v>0</v>
      </c>
      <c r="Q138" s="482" t="str">
        <f>IFERROR(VLOOKUP(G138,MODULY_CBA!$B$3:$I$23,6,0),"")</f>
        <v/>
      </c>
      <c r="R138" s="385" t="s">
        <v>168</v>
      </c>
      <c r="S138" s="385" t="s">
        <v>168</v>
      </c>
      <c r="T138" s="385" t="s">
        <v>168</v>
      </c>
      <c r="U138" s="385" t="s">
        <v>168</v>
      </c>
      <c r="V138" s="385" t="s">
        <v>168</v>
      </c>
      <c r="W138" s="385" t="s">
        <v>168</v>
      </c>
      <c r="X138" s="385" t="s">
        <v>168</v>
      </c>
      <c r="Y138" s="385" t="s">
        <v>168</v>
      </c>
      <c r="Z138" s="385" t="s">
        <v>168</v>
      </c>
      <c r="AA138" s="385" t="s">
        <v>168</v>
      </c>
      <c r="AB138" s="385" t="s">
        <v>168</v>
      </c>
      <c r="AC138" s="385" t="s">
        <v>168</v>
      </c>
      <c r="AD138" s="385" t="s">
        <v>168</v>
      </c>
      <c r="AE138" s="385" t="s">
        <v>168</v>
      </c>
    </row>
    <row r="139" spans="1:31">
      <c r="A139" s="404"/>
      <c r="B139" s="404"/>
      <c r="C139" s="535"/>
      <c r="D139" s="535"/>
      <c r="E139" s="535"/>
      <c r="F139" s="386"/>
      <c r="G139" s="383"/>
      <c r="H139" s="652"/>
      <c r="I139" s="652"/>
      <c r="J139" s="382">
        <f t="shared" si="11"/>
        <v>0</v>
      </c>
      <c r="K139" s="382">
        <f t="shared" si="13"/>
        <v>0</v>
      </c>
      <c r="L139" s="646">
        <f>IFERROR(IF(B139="funkcna poziadavka",VLOOKUP(G139,MODULY_CBA!$B$3:$E$23,4,0)*H139/SUMIFS($H$3:$H$199,$G$3:$G$199,G139,$B$3:$B$199,B139),),)</f>
        <v>0</v>
      </c>
      <c r="M139" s="382">
        <f>IFERROR(IF(B139="Funkcna poziadavka",VLOOKUP(G139,MODULY_CBA!$B$3:$E$23,3,0),),)</f>
        <v>0</v>
      </c>
      <c r="N139" s="382">
        <f>IFERROR(IF(B139="funkcna poziadavka",VLOOKUP(G139,MODULY_CBA!$B$3:$E$23,2,0),),)</f>
        <v>0</v>
      </c>
      <c r="O139" s="381">
        <f t="shared" si="12"/>
        <v>0</v>
      </c>
      <c r="P139" s="380">
        <f>IFERROR(O139*VLOOKUP(G139,MODULY_CBA!$B$3:$F$23,5,0),)</f>
        <v>0</v>
      </c>
      <c r="Q139" s="482" t="str">
        <f>IFERROR(VLOOKUP(G139,MODULY_CBA!$B$3:$I$23,6,0),"")</f>
        <v/>
      </c>
      <c r="R139" s="385"/>
      <c r="S139" s="385"/>
      <c r="T139" s="385"/>
      <c r="U139" s="385"/>
      <c r="V139" s="385"/>
      <c r="W139" s="385"/>
      <c r="X139" s="385"/>
      <c r="Y139" s="385"/>
      <c r="Z139" s="385"/>
      <c r="AA139" s="385"/>
      <c r="AB139" s="385"/>
      <c r="AC139" s="385"/>
      <c r="AD139" s="385"/>
      <c r="AE139" s="385"/>
    </row>
    <row r="140" spans="1:31">
      <c r="A140" s="404"/>
      <c r="B140" s="404"/>
      <c r="C140" s="535"/>
      <c r="D140" s="535"/>
      <c r="E140" s="535"/>
      <c r="F140" s="386"/>
      <c r="G140" s="383"/>
      <c r="H140" s="652"/>
      <c r="I140" s="652"/>
      <c r="J140" s="382">
        <f t="shared" si="11"/>
        <v>0</v>
      </c>
      <c r="K140" s="382">
        <f t="shared" si="13"/>
        <v>0</v>
      </c>
      <c r="L140" s="646">
        <f>IFERROR(IF(B140="funkcna poziadavka",VLOOKUP(G140,MODULY_CBA!$B$3:$E$23,4,0)*H140/SUMIFS($H$3:$H$199,$G$3:$G$199,G140,$B$3:$B$199,B140),),)</f>
        <v>0</v>
      </c>
      <c r="M140" s="382">
        <f>IFERROR(IF(B140="Funkcna poziadavka",VLOOKUP(G140,MODULY_CBA!$B$3:$E$23,3,0),),)</f>
        <v>0</v>
      </c>
      <c r="N140" s="382">
        <f>IFERROR(IF(B140="funkcna poziadavka",VLOOKUP(G140,MODULY_CBA!$B$3:$E$23,2,0),),)</f>
        <v>0</v>
      </c>
      <c r="O140" s="381">
        <f t="shared" si="12"/>
        <v>0</v>
      </c>
      <c r="P140" s="380">
        <f>IFERROR(O140*VLOOKUP(G140,MODULY_CBA!$B$3:$F$23,5,0),)</f>
        <v>0</v>
      </c>
      <c r="Q140" s="482" t="str">
        <f>IFERROR(VLOOKUP(G140,MODULY_CBA!$B$3:$I$23,6,0),"")</f>
        <v/>
      </c>
      <c r="R140" s="385"/>
      <c r="S140" s="385"/>
      <c r="T140" s="385"/>
      <c r="U140" s="385"/>
      <c r="V140" s="385"/>
      <c r="W140" s="385"/>
      <c r="X140" s="385"/>
      <c r="Y140" s="385"/>
      <c r="Z140" s="385"/>
      <c r="AA140" s="385"/>
      <c r="AB140" s="385"/>
      <c r="AC140" s="385"/>
      <c r="AD140" s="385"/>
      <c r="AE140" s="385"/>
    </row>
    <row r="141" spans="1:31">
      <c r="A141" s="404"/>
      <c r="B141" s="404"/>
      <c r="C141" s="535"/>
      <c r="D141" s="535"/>
      <c r="E141" s="535"/>
      <c r="F141" s="386"/>
      <c r="G141" s="383"/>
      <c r="H141" s="652"/>
      <c r="I141" s="652"/>
      <c r="J141" s="382">
        <f t="shared" si="11"/>
        <v>0</v>
      </c>
      <c r="K141" s="382">
        <f t="shared" si="13"/>
        <v>0</v>
      </c>
      <c r="L141" s="646">
        <f>IFERROR(IF(B141="funkcna poziadavka",VLOOKUP(G141,MODULY_CBA!$B$3:$E$23,4,0)*H141/SUMIFS($H$3:$H$199,$G$3:$G$199,G141,$B$3:$B$199,B141),),)</f>
        <v>0</v>
      </c>
      <c r="M141" s="382">
        <f>IFERROR(IF(B141="Funkcna poziadavka",VLOOKUP(G141,MODULY_CBA!$B$3:$E$23,3,0),),)</f>
        <v>0</v>
      </c>
      <c r="N141" s="382">
        <f>IFERROR(IF(B141="funkcna poziadavka",VLOOKUP(G141,MODULY_CBA!$B$3:$E$23,2,0),),)</f>
        <v>0</v>
      </c>
      <c r="O141" s="381">
        <f t="shared" si="12"/>
        <v>0</v>
      </c>
      <c r="P141" s="380">
        <f>IFERROR(O141*VLOOKUP(G141,MODULY_CBA!$B$3:$F$23,5,0),)</f>
        <v>0</v>
      </c>
      <c r="Q141" s="482" t="str">
        <f>IFERROR(VLOOKUP(G141,MODULY_CBA!$B$3:$I$23,6,0),"")</f>
        <v/>
      </c>
      <c r="R141" s="385" t="s">
        <v>168</v>
      </c>
      <c r="S141" s="385" t="s">
        <v>168</v>
      </c>
      <c r="T141" s="385" t="s">
        <v>168</v>
      </c>
      <c r="U141" s="385" t="s">
        <v>168</v>
      </c>
      <c r="V141" s="385" t="s">
        <v>168</v>
      </c>
      <c r="W141" s="385" t="s">
        <v>168</v>
      </c>
      <c r="X141" s="385" t="s">
        <v>168</v>
      </c>
      <c r="Y141" s="385" t="s">
        <v>168</v>
      </c>
      <c r="Z141" s="385" t="s">
        <v>168</v>
      </c>
      <c r="AA141" s="385" t="s">
        <v>168</v>
      </c>
      <c r="AB141" s="385" t="s">
        <v>168</v>
      </c>
      <c r="AC141" s="385" t="s">
        <v>168</v>
      </c>
      <c r="AD141" s="385" t="s">
        <v>168</v>
      </c>
      <c r="AE141" s="385" t="s">
        <v>168</v>
      </c>
    </row>
    <row r="142" spans="1:31">
      <c r="A142" s="404"/>
      <c r="B142" s="404"/>
      <c r="C142" s="535"/>
      <c r="D142" s="535"/>
      <c r="E142" s="535"/>
      <c r="F142" s="386"/>
      <c r="G142" s="383"/>
      <c r="H142" s="652"/>
      <c r="I142" s="652"/>
      <c r="J142" s="382">
        <f t="shared" si="11"/>
        <v>0</v>
      </c>
      <c r="K142" s="382">
        <f t="shared" si="13"/>
        <v>0</v>
      </c>
      <c r="L142" s="646">
        <f>IFERROR(IF(B142="funkcna poziadavka",VLOOKUP(G142,MODULY_CBA!$B$3:$E$23,4,0)*H142/SUMIFS($H$3:$H$199,$G$3:$G$199,G142,$B$3:$B$199,B142),),)</f>
        <v>0</v>
      </c>
      <c r="M142" s="382">
        <f>IFERROR(IF(B142="Funkcna poziadavka",VLOOKUP(G142,MODULY_CBA!$B$3:$E$23,3,0),),)</f>
        <v>0</v>
      </c>
      <c r="N142" s="382">
        <f>IFERROR(IF(B142="funkcna poziadavka",VLOOKUP(G142,MODULY_CBA!$B$3:$E$23,2,0),),)</f>
        <v>0</v>
      </c>
      <c r="O142" s="381">
        <f t="shared" si="12"/>
        <v>0</v>
      </c>
      <c r="P142" s="380">
        <f>IFERROR(O142*VLOOKUP(G142,MODULY_CBA!$B$3:$F$23,5,0),)</f>
        <v>0</v>
      </c>
      <c r="Q142" s="482" t="str">
        <f>IFERROR(VLOOKUP(G142,MODULY_CBA!$B$3:$I$23,6,0),"")</f>
        <v/>
      </c>
      <c r="R142" s="385" t="s">
        <v>168</v>
      </c>
      <c r="S142" s="385" t="s">
        <v>168</v>
      </c>
      <c r="T142" s="385" t="s">
        <v>168</v>
      </c>
      <c r="U142" s="385" t="s">
        <v>168</v>
      </c>
      <c r="V142" s="385" t="s">
        <v>168</v>
      </c>
      <c r="W142" s="385" t="s">
        <v>168</v>
      </c>
      <c r="X142" s="385" t="s">
        <v>168</v>
      </c>
      <c r="Y142" s="385" t="s">
        <v>168</v>
      </c>
      <c r="Z142" s="385" t="s">
        <v>168</v>
      </c>
      <c r="AA142" s="385" t="s">
        <v>168</v>
      </c>
      <c r="AB142" s="385" t="s">
        <v>168</v>
      </c>
      <c r="AC142" s="385" t="s">
        <v>168</v>
      </c>
      <c r="AD142" s="385" t="s">
        <v>168</v>
      </c>
      <c r="AE142" s="385" t="s">
        <v>168</v>
      </c>
    </row>
    <row r="143" spans="1:31">
      <c r="A143" s="404"/>
      <c r="B143" s="404"/>
      <c r="C143" s="535"/>
      <c r="D143" s="535"/>
      <c r="E143" s="535"/>
      <c r="F143" s="386"/>
      <c r="G143" s="383"/>
      <c r="H143" s="652"/>
      <c r="I143" s="652"/>
      <c r="J143" s="382">
        <f t="shared" si="11"/>
        <v>0</v>
      </c>
      <c r="K143" s="382">
        <f t="shared" si="13"/>
        <v>0</v>
      </c>
      <c r="L143" s="646">
        <f>IFERROR(IF(B143="funkcna poziadavka",VLOOKUP(G143,MODULY_CBA!$B$3:$E$23,4,0)*H143/SUMIFS($H$3:$H$199,$G$3:$G$199,G143,$B$3:$B$199,B143),),)</f>
        <v>0</v>
      </c>
      <c r="M143" s="382">
        <f>IFERROR(IF(B143="Funkcna poziadavka",VLOOKUP(G143,MODULY_CBA!$B$3:$E$23,3,0),),)</f>
        <v>0</v>
      </c>
      <c r="N143" s="382">
        <f>IFERROR(IF(B143="funkcna poziadavka",VLOOKUP(G143,MODULY_CBA!$B$3:$E$23,2,0),),)</f>
        <v>0</v>
      </c>
      <c r="O143" s="381">
        <f t="shared" si="12"/>
        <v>0</v>
      </c>
      <c r="P143" s="380">
        <f>IFERROR(O143*VLOOKUP(G143,MODULY_CBA!$B$3:$F$23,5,0),)</f>
        <v>0</v>
      </c>
      <c r="Q143" s="482" t="str">
        <f>IFERROR(VLOOKUP(G143,MODULY_CBA!$B$3:$I$23,6,0),"")</f>
        <v/>
      </c>
      <c r="R143" s="385"/>
      <c r="S143" s="385"/>
      <c r="T143" s="385"/>
      <c r="U143" s="385"/>
      <c r="V143" s="385"/>
      <c r="W143" s="385"/>
      <c r="X143" s="385"/>
      <c r="Y143" s="385"/>
      <c r="Z143" s="385"/>
      <c r="AA143" s="385"/>
      <c r="AB143" s="385"/>
      <c r="AC143" s="385"/>
      <c r="AD143" s="385"/>
      <c r="AE143" s="385"/>
    </row>
    <row r="144" spans="1:31">
      <c r="A144" s="404"/>
      <c r="B144" s="404"/>
      <c r="C144" s="535"/>
      <c r="D144" s="535"/>
      <c r="E144" s="535"/>
      <c r="F144" s="386"/>
      <c r="G144" s="383"/>
      <c r="H144" s="652"/>
      <c r="I144" s="652"/>
      <c r="J144" s="382">
        <f t="shared" si="11"/>
        <v>0</v>
      </c>
      <c r="K144" s="382">
        <f t="shared" si="13"/>
        <v>0</v>
      </c>
      <c r="L144" s="646">
        <f>IFERROR(IF(B144="funkcna poziadavka",VLOOKUP(G144,MODULY_CBA!$B$3:$E$23,4,0)*H144/SUMIFS($H$3:$H$199,$G$3:$G$199,G144,$B$3:$B$199,B144),),)</f>
        <v>0</v>
      </c>
      <c r="M144" s="382">
        <f>IFERROR(IF(B144="Funkcna poziadavka",VLOOKUP(G144,MODULY_CBA!$B$3:$E$23,3,0),),)</f>
        <v>0</v>
      </c>
      <c r="N144" s="382">
        <f>IFERROR(IF(B144="funkcna poziadavka",VLOOKUP(G144,MODULY_CBA!$B$3:$E$23,2,0),),)</f>
        <v>0</v>
      </c>
      <c r="O144" s="381">
        <f t="shared" si="12"/>
        <v>0</v>
      </c>
      <c r="P144" s="380">
        <f>IFERROR(O144*VLOOKUP(G144,MODULY_CBA!$B$3:$F$23,5,0),)</f>
        <v>0</v>
      </c>
      <c r="Q144" s="482" t="str">
        <f>IFERROR(VLOOKUP(G144,MODULY_CBA!$B$3:$I$23,6,0),"")</f>
        <v/>
      </c>
      <c r="R144" s="385" t="s">
        <v>168</v>
      </c>
      <c r="S144" s="385" t="s">
        <v>168</v>
      </c>
      <c r="T144" s="385" t="s">
        <v>168</v>
      </c>
      <c r="U144" s="385" t="s">
        <v>168</v>
      </c>
      <c r="V144" s="385" t="s">
        <v>168</v>
      </c>
      <c r="W144" s="385" t="s">
        <v>168</v>
      </c>
      <c r="X144" s="385" t="s">
        <v>168</v>
      </c>
      <c r="Y144" s="385" t="s">
        <v>168</v>
      </c>
      <c r="Z144" s="385" t="s">
        <v>168</v>
      </c>
      <c r="AA144" s="385" t="s">
        <v>168</v>
      </c>
      <c r="AB144" s="385" t="s">
        <v>168</v>
      </c>
      <c r="AC144" s="385" t="s">
        <v>168</v>
      </c>
      <c r="AD144" s="385" t="s">
        <v>168</v>
      </c>
      <c r="AE144" s="385" t="s">
        <v>168</v>
      </c>
    </row>
    <row r="145" spans="1:31">
      <c r="A145" s="404"/>
      <c r="B145" s="404"/>
      <c r="C145" s="535"/>
      <c r="D145" s="535"/>
      <c r="E145" s="535"/>
      <c r="F145" s="386"/>
      <c r="G145" s="383"/>
      <c r="H145" s="652"/>
      <c r="I145" s="652"/>
      <c r="J145" s="382">
        <f t="shared" si="11"/>
        <v>0</v>
      </c>
      <c r="K145" s="382">
        <f t="shared" si="13"/>
        <v>0</v>
      </c>
      <c r="L145" s="646">
        <f>IFERROR(IF(B145="funkcna poziadavka",VLOOKUP(G145,MODULY_CBA!$B$3:$E$23,4,0)*H145/SUMIFS($H$3:$H$199,$G$3:$G$199,G145,$B$3:$B$199,B145),),)</f>
        <v>0</v>
      </c>
      <c r="M145" s="382">
        <f>IFERROR(IF(B145="Funkcna poziadavka",VLOOKUP(G145,MODULY_CBA!$B$3:$E$23,3,0),),)</f>
        <v>0</v>
      </c>
      <c r="N145" s="382">
        <f>IFERROR(IF(B145="funkcna poziadavka",VLOOKUP(G145,MODULY_CBA!$B$3:$E$23,2,0),),)</f>
        <v>0</v>
      </c>
      <c r="O145" s="381">
        <f t="shared" si="12"/>
        <v>0</v>
      </c>
      <c r="P145" s="380">
        <f>IFERROR(O145*VLOOKUP(G145,MODULY_CBA!$B$3:$F$23,5,0),)</f>
        <v>0</v>
      </c>
      <c r="Q145" s="482" t="str">
        <f>IFERROR(VLOOKUP(G145,MODULY_CBA!$B$3:$I$23,6,0),"")</f>
        <v/>
      </c>
      <c r="R145" s="385"/>
      <c r="S145" s="385"/>
      <c r="T145" s="385"/>
      <c r="U145" s="385"/>
      <c r="V145" s="385"/>
      <c r="W145" s="385"/>
      <c r="X145" s="385"/>
      <c r="Y145" s="385"/>
      <c r="Z145" s="385"/>
      <c r="AA145" s="385"/>
      <c r="AB145" s="385"/>
      <c r="AC145" s="385"/>
      <c r="AD145" s="385"/>
      <c r="AE145" s="385"/>
    </row>
    <row r="146" spans="1:31">
      <c r="A146" s="404"/>
      <c r="B146" s="404"/>
      <c r="C146" s="535"/>
      <c r="D146" s="535"/>
      <c r="E146" s="535"/>
      <c r="F146" s="386"/>
      <c r="G146" s="383"/>
      <c r="H146" s="652"/>
      <c r="I146" s="652"/>
      <c r="J146" s="382">
        <f t="shared" si="11"/>
        <v>0</v>
      </c>
      <c r="K146" s="382">
        <f t="shared" si="13"/>
        <v>0</v>
      </c>
      <c r="L146" s="646">
        <f>IFERROR(IF(B146="funkcna poziadavka",VLOOKUP(G146,MODULY_CBA!$B$3:$E$23,4,0)*H146/SUMIFS($H$3:$H$199,$G$3:$G$199,G146,$B$3:$B$199,B146),),)</f>
        <v>0</v>
      </c>
      <c r="M146" s="382">
        <f>IFERROR(IF(B146="Funkcna poziadavka",VLOOKUP(G146,MODULY_CBA!$B$3:$E$23,3,0),),)</f>
        <v>0</v>
      </c>
      <c r="N146" s="382">
        <f>IFERROR(IF(B146="funkcna poziadavka",VLOOKUP(G146,MODULY_CBA!$B$3:$E$23,2,0),),)</f>
        <v>0</v>
      </c>
      <c r="O146" s="381">
        <f t="shared" si="12"/>
        <v>0</v>
      </c>
      <c r="P146" s="380">
        <f>IFERROR(O146*VLOOKUP(G146,MODULY_CBA!$B$3:$F$23,5,0),)</f>
        <v>0</v>
      </c>
      <c r="Q146" s="482" t="str">
        <f>IFERROR(VLOOKUP(G146,MODULY_CBA!$B$3:$I$23,6,0),"")</f>
        <v/>
      </c>
      <c r="R146" s="385"/>
      <c r="S146" s="385"/>
      <c r="T146" s="385"/>
      <c r="U146" s="385"/>
      <c r="V146" s="385"/>
      <c r="W146" s="385"/>
      <c r="X146" s="385"/>
      <c r="Y146" s="385"/>
      <c r="Z146" s="385"/>
      <c r="AA146" s="385"/>
      <c r="AB146" s="385"/>
      <c r="AC146" s="385"/>
      <c r="AD146" s="385"/>
      <c r="AE146" s="385"/>
    </row>
    <row r="147" spans="1:31">
      <c r="A147" s="404"/>
      <c r="B147" s="404"/>
      <c r="C147" s="535"/>
      <c r="D147" s="535"/>
      <c r="E147" s="535"/>
      <c r="F147" s="386"/>
      <c r="G147" s="383"/>
      <c r="H147" s="652"/>
      <c r="I147" s="652"/>
      <c r="J147" s="382">
        <f t="shared" si="11"/>
        <v>0</v>
      </c>
      <c r="K147" s="382">
        <f t="shared" si="13"/>
        <v>0</v>
      </c>
      <c r="L147" s="646">
        <f>IFERROR(IF(B147="funkcna poziadavka",VLOOKUP(G147,MODULY_CBA!$B$3:$E$23,4,0)*H147/SUMIFS($H$3:$H$199,$G$3:$G$199,G147,$B$3:$B$199,B147),),)</f>
        <v>0</v>
      </c>
      <c r="M147" s="382">
        <f>IFERROR(IF(B147="Funkcna poziadavka",VLOOKUP(G147,MODULY_CBA!$B$3:$E$23,3,0),),)</f>
        <v>0</v>
      </c>
      <c r="N147" s="382">
        <f>IFERROR(IF(B147="funkcna poziadavka",VLOOKUP(G147,MODULY_CBA!$B$3:$E$23,2,0),),)</f>
        <v>0</v>
      </c>
      <c r="O147" s="381">
        <f t="shared" si="12"/>
        <v>0</v>
      </c>
      <c r="P147" s="380">
        <f>IFERROR(O147*VLOOKUP(G147,MODULY_CBA!$B$3:$F$23,5,0),)</f>
        <v>0</v>
      </c>
      <c r="Q147" s="482" t="str">
        <f>IFERROR(VLOOKUP(G147,MODULY_CBA!$B$3:$I$23,6,0),"")</f>
        <v/>
      </c>
      <c r="R147" s="385" t="s">
        <v>168</v>
      </c>
      <c r="S147" s="385" t="s">
        <v>168</v>
      </c>
      <c r="T147" s="385" t="s">
        <v>168</v>
      </c>
      <c r="U147" s="385" t="s">
        <v>168</v>
      </c>
      <c r="V147" s="385" t="s">
        <v>168</v>
      </c>
      <c r="W147" s="385" t="s">
        <v>168</v>
      </c>
      <c r="X147" s="385" t="s">
        <v>168</v>
      </c>
      <c r="Y147" s="385" t="s">
        <v>168</v>
      </c>
      <c r="Z147" s="385" t="s">
        <v>168</v>
      </c>
      <c r="AA147" s="385" t="s">
        <v>168</v>
      </c>
      <c r="AB147" s="385" t="s">
        <v>168</v>
      </c>
      <c r="AC147" s="385" t="s">
        <v>168</v>
      </c>
      <c r="AD147" s="385" t="s">
        <v>168</v>
      </c>
      <c r="AE147" s="385" t="s">
        <v>168</v>
      </c>
    </row>
    <row r="148" spans="1:31">
      <c r="A148" s="404"/>
      <c r="B148" s="404"/>
      <c r="C148" s="535"/>
      <c r="D148" s="535"/>
      <c r="E148" s="535"/>
      <c r="F148" s="386"/>
      <c r="G148" s="383"/>
      <c r="H148" s="652"/>
      <c r="I148" s="652"/>
      <c r="J148" s="382">
        <f t="shared" si="11"/>
        <v>0</v>
      </c>
      <c r="K148" s="382">
        <f t="shared" si="13"/>
        <v>0</v>
      </c>
      <c r="L148" s="646">
        <f>IFERROR(IF(B148="funkcna poziadavka",VLOOKUP(G148,MODULY_CBA!$B$3:$E$23,4,0)*H148/SUMIFS($H$3:$H$199,$G$3:$G$199,G148,$B$3:$B$199,B148),),)</f>
        <v>0</v>
      </c>
      <c r="M148" s="382">
        <f>IFERROR(IF(B148="Funkcna poziadavka",VLOOKUP(G148,MODULY_CBA!$B$3:$E$23,3,0),),)</f>
        <v>0</v>
      </c>
      <c r="N148" s="382">
        <f>IFERROR(IF(B148="funkcna poziadavka",VLOOKUP(G148,MODULY_CBA!$B$3:$E$23,2,0),),)</f>
        <v>0</v>
      </c>
      <c r="O148" s="381">
        <f t="shared" si="12"/>
        <v>0</v>
      </c>
      <c r="P148" s="380">
        <f>IFERROR(O148*VLOOKUP(G148,MODULY_CBA!$B$3:$F$23,5,0),)</f>
        <v>0</v>
      </c>
      <c r="Q148" s="482" t="str">
        <f>IFERROR(VLOOKUP(G148,MODULY_CBA!$B$3:$I$23,6,0),"")</f>
        <v/>
      </c>
      <c r="R148" s="385"/>
      <c r="S148" s="385"/>
      <c r="T148" s="385"/>
      <c r="U148" s="385"/>
      <c r="V148" s="385"/>
      <c r="W148" s="385"/>
      <c r="X148" s="385"/>
      <c r="Y148" s="385"/>
      <c r="Z148" s="385"/>
      <c r="AA148" s="385"/>
      <c r="AB148" s="385"/>
      <c r="AC148" s="385"/>
      <c r="AD148" s="385"/>
      <c r="AE148" s="385"/>
    </row>
    <row r="149" spans="1:31">
      <c r="A149" s="404"/>
      <c r="B149" s="404"/>
      <c r="C149" s="535"/>
      <c r="D149" s="535"/>
      <c r="E149" s="535"/>
      <c r="F149" s="386"/>
      <c r="G149" s="383"/>
      <c r="H149" s="652"/>
      <c r="I149" s="652"/>
      <c r="J149" s="382">
        <f t="shared" si="11"/>
        <v>0</v>
      </c>
      <c r="K149" s="382">
        <f t="shared" si="13"/>
        <v>0</v>
      </c>
      <c r="L149" s="646">
        <f>IFERROR(IF(B149="funkcna poziadavka",VLOOKUP(G149,MODULY_CBA!$B$3:$E$23,4,0)*H149/SUMIFS($H$3:$H$199,$G$3:$G$199,G149,$B$3:$B$199,B149),),)</f>
        <v>0</v>
      </c>
      <c r="M149" s="382">
        <f>IFERROR(IF(B149="Funkcna poziadavka",VLOOKUP(G149,MODULY_CBA!$B$3:$E$23,3,0),),)</f>
        <v>0</v>
      </c>
      <c r="N149" s="382">
        <f>IFERROR(IF(B149="funkcna poziadavka",VLOOKUP(G149,MODULY_CBA!$B$3:$E$23,2,0),),)</f>
        <v>0</v>
      </c>
      <c r="O149" s="381">
        <f t="shared" si="12"/>
        <v>0</v>
      </c>
      <c r="P149" s="380">
        <f>IFERROR(O149*VLOOKUP(G149,MODULY_CBA!$B$3:$F$23,5,0),)</f>
        <v>0</v>
      </c>
      <c r="Q149" s="482" t="str">
        <f>IFERROR(VLOOKUP(G149,MODULY_CBA!$B$3:$I$23,6,0),"")</f>
        <v/>
      </c>
      <c r="R149" s="385"/>
      <c r="S149" s="385"/>
      <c r="T149" s="385"/>
      <c r="U149" s="385"/>
      <c r="V149" s="385"/>
      <c r="W149" s="385"/>
      <c r="X149" s="385"/>
      <c r="Y149" s="385"/>
      <c r="Z149" s="385"/>
      <c r="AA149" s="385"/>
      <c r="AB149" s="385"/>
      <c r="AC149" s="385"/>
      <c r="AD149" s="385"/>
      <c r="AE149" s="385"/>
    </row>
    <row r="150" spans="1:31">
      <c r="A150" s="404"/>
      <c r="B150" s="404"/>
      <c r="C150" s="535"/>
      <c r="D150" s="535"/>
      <c r="E150" s="535"/>
      <c r="F150" s="386"/>
      <c r="G150" s="383"/>
      <c r="H150" s="652"/>
      <c r="I150" s="652"/>
      <c r="J150" s="382">
        <f t="shared" si="11"/>
        <v>0</v>
      </c>
      <c r="K150" s="382">
        <f t="shared" si="13"/>
        <v>0</v>
      </c>
      <c r="L150" s="646">
        <f>IFERROR(IF(B150="funkcna poziadavka",VLOOKUP(G150,MODULY_CBA!$B$3:$E$23,4,0)*H150/SUMIFS($H$3:$H$199,$G$3:$G$199,G150,$B$3:$B$199,B150),),)</f>
        <v>0</v>
      </c>
      <c r="M150" s="382">
        <f>IFERROR(IF(B150="Funkcna poziadavka",VLOOKUP(G150,MODULY_CBA!$B$3:$E$23,3,0),),)</f>
        <v>0</v>
      </c>
      <c r="N150" s="382">
        <f>IFERROR(IF(B150="funkcna poziadavka",VLOOKUP(G150,MODULY_CBA!$B$3:$E$23,2,0),),)</f>
        <v>0</v>
      </c>
      <c r="O150" s="381">
        <f t="shared" si="12"/>
        <v>0</v>
      </c>
      <c r="P150" s="380">
        <f>IFERROR(O150*VLOOKUP(G150,MODULY_CBA!$B$3:$F$23,5,0),)</f>
        <v>0</v>
      </c>
      <c r="Q150" s="482" t="str">
        <f>IFERROR(VLOOKUP(G150,MODULY_CBA!$B$3:$I$23,6,0),"")</f>
        <v/>
      </c>
      <c r="R150" s="385" t="s">
        <v>168</v>
      </c>
      <c r="S150" s="385" t="s">
        <v>168</v>
      </c>
      <c r="T150" s="385" t="s">
        <v>168</v>
      </c>
      <c r="U150" s="385" t="s">
        <v>168</v>
      </c>
      <c r="V150" s="385" t="s">
        <v>168</v>
      </c>
      <c r="W150" s="385" t="s">
        <v>168</v>
      </c>
      <c r="X150" s="385" t="s">
        <v>168</v>
      </c>
      <c r="Y150" s="385" t="s">
        <v>168</v>
      </c>
      <c r="Z150" s="385" t="s">
        <v>168</v>
      </c>
      <c r="AA150" s="385" t="s">
        <v>168</v>
      </c>
      <c r="AB150" s="385" t="s">
        <v>168</v>
      </c>
      <c r="AC150" s="385" t="s">
        <v>168</v>
      </c>
      <c r="AD150" s="385" t="s">
        <v>168</v>
      </c>
      <c r="AE150" s="385" t="s">
        <v>168</v>
      </c>
    </row>
    <row r="151" spans="1:31">
      <c r="A151" s="404"/>
      <c r="B151" s="404"/>
      <c r="C151" s="535"/>
      <c r="D151" s="535"/>
      <c r="E151" s="535"/>
      <c r="F151" s="386"/>
      <c r="G151" s="383"/>
      <c r="H151" s="652"/>
      <c r="I151" s="652"/>
      <c r="J151" s="382">
        <f t="shared" si="11"/>
        <v>0</v>
      </c>
      <c r="K151" s="382">
        <f t="shared" si="13"/>
        <v>0</v>
      </c>
      <c r="L151" s="646">
        <f>IFERROR(IF(B151="funkcna poziadavka",VLOOKUP(G151,MODULY_CBA!$B$3:$E$23,4,0)*H151/SUMIFS($H$3:$H$199,$G$3:$G$199,G151,$B$3:$B$199,B151),),)</f>
        <v>0</v>
      </c>
      <c r="M151" s="382">
        <f>IFERROR(IF(B151="Funkcna poziadavka",VLOOKUP(G151,MODULY_CBA!$B$3:$E$23,3,0),),)</f>
        <v>0</v>
      </c>
      <c r="N151" s="382">
        <f>IFERROR(IF(B151="funkcna poziadavka",VLOOKUP(G151,MODULY_CBA!$B$3:$E$23,2,0),),)</f>
        <v>0</v>
      </c>
      <c r="O151" s="381">
        <f t="shared" si="12"/>
        <v>0</v>
      </c>
      <c r="P151" s="380">
        <f>IFERROR(O151*VLOOKUP(G151,MODULY_CBA!$B$3:$F$23,5,0),)</f>
        <v>0</v>
      </c>
      <c r="Q151" s="482" t="str">
        <f>IFERROR(VLOOKUP(G151,MODULY_CBA!$B$3:$I$23,6,0),"")</f>
        <v/>
      </c>
      <c r="R151" s="385"/>
      <c r="S151" s="385"/>
      <c r="T151" s="385"/>
      <c r="U151" s="385"/>
      <c r="V151" s="385"/>
      <c r="W151" s="385"/>
      <c r="X151" s="385"/>
      <c r="Y151" s="385"/>
      <c r="Z151" s="385"/>
      <c r="AA151" s="385"/>
      <c r="AB151" s="385"/>
      <c r="AC151" s="385"/>
      <c r="AD151" s="385"/>
      <c r="AE151" s="385"/>
    </row>
    <row r="152" spans="1:31">
      <c r="A152" s="404"/>
      <c r="B152" s="404"/>
      <c r="C152" s="535"/>
      <c r="D152" s="535"/>
      <c r="E152" s="535"/>
      <c r="F152" s="386"/>
      <c r="G152" s="383"/>
      <c r="H152" s="652"/>
      <c r="I152" s="652"/>
      <c r="J152" s="382">
        <f t="shared" si="11"/>
        <v>0</v>
      </c>
      <c r="K152" s="382">
        <f t="shared" si="13"/>
        <v>0</v>
      </c>
      <c r="L152" s="646">
        <f>IFERROR(IF(B152="funkcna poziadavka",VLOOKUP(G152,MODULY_CBA!$B$3:$E$23,4,0)*H152/SUMIFS($H$3:$H$199,$G$3:$G$199,G152,$B$3:$B$199,B152),),)</f>
        <v>0</v>
      </c>
      <c r="M152" s="382">
        <f>IFERROR(IF(B152="Funkcna poziadavka",VLOOKUP(G152,MODULY_CBA!$B$3:$E$23,3,0),),)</f>
        <v>0</v>
      </c>
      <c r="N152" s="382">
        <f>IFERROR(IF(B152="funkcna poziadavka",VLOOKUP(G152,MODULY_CBA!$B$3:$E$23,2,0),),)</f>
        <v>0</v>
      </c>
      <c r="O152" s="381">
        <f t="shared" si="12"/>
        <v>0</v>
      </c>
      <c r="P152" s="380">
        <f>IFERROR(O152*VLOOKUP(G152,MODULY_CBA!$B$3:$F$23,5,0),)</f>
        <v>0</v>
      </c>
      <c r="Q152" s="482" t="str">
        <f>IFERROR(VLOOKUP(G152,MODULY_CBA!$B$3:$I$23,6,0),"")</f>
        <v/>
      </c>
      <c r="R152" s="385"/>
      <c r="S152" s="385"/>
      <c r="T152" s="385"/>
      <c r="U152" s="385"/>
      <c r="V152" s="385"/>
      <c r="W152" s="385"/>
      <c r="X152" s="385"/>
      <c r="Y152" s="385"/>
      <c r="Z152" s="385"/>
      <c r="AA152" s="385"/>
      <c r="AB152" s="385"/>
      <c r="AC152" s="385"/>
      <c r="AD152" s="385"/>
      <c r="AE152" s="385"/>
    </row>
    <row r="153" spans="1:31">
      <c r="A153" s="404"/>
      <c r="B153" s="404"/>
      <c r="C153" s="535"/>
      <c r="D153" s="535"/>
      <c r="E153" s="535"/>
      <c r="F153" s="386"/>
      <c r="G153" s="383"/>
      <c r="H153" s="652"/>
      <c r="I153" s="652"/>
      <c r="J153" s="382">
        <f t="shared" si="11"/>
        <v>0</v>
      </c>
      <c r="K153" s="382">
        <f t="shared" si="13"/>
        <v>0</v>
      </c>
      <c r="L153" s="646">
        <f>IFERROR(IF(B153="funkcna poziadavka",VLOOKUP(G153,MODULY_CBA!$B$3:$E$23,4,0)*H153/SUMIFS($H$3:$H$199,$G$3:$G$199,G153,$B$3:$B$199,B153),),)</f>
        <v>0</v>
      </c>
      <c r="M153" s="382">
        <f>IFERROR(IF(B153="Funkcna poziadavka",VLOOKUP(G153,MODULY_CBA!$B$3:$E$23,3,0),),)</f>
        <v>0</v>
      </c>
      <c r="N153" s="382">
        <f>IFERROR(IF(B153="funkcna poziadavka",VLOOKUP(G153,MODULY_CBA!$B$3:$E$23,2,0),),)</f>
        <v>0</v>
      </c>
      <c r="O153" s="381">
        <f t="shared" si="12"/>
        <v>0</v>
      </c>
      <c r="P153" s="380">
        <f>IFERROR(O153*VLOOKUP(G153,MODULY_CBA!$B$3:$F$23,5,0),)</f>
        <v>0</v>
      </c>
      <c r="Q153" s="482" t="str">
        <f>IFERROR(VLOOKUP(G153,MODULY_CBA!$B$3:$I$23,6,0),"")</f>
        <v/>
      </c>
      <c r="R153" s="385"/>
      <c r="S153" s="385"/>
      <c r="T153" s="385"/>
      <c r="U153" s="385"/>
      <c r="V153" s="385"/>
      <c r="W153" s="385"/>
      <c r="X153" s="385"/>
      <c r="Y153" s="385"/>
      <c r="Z153" s="385"/>
      <c r="AA153" s="385"/>
      <c r="AB153" s="385"/>
      <c r="AC153" s="385"/>
      <c r="AD153" s="385"/>
      <c r="AE153" s="385"/>
    </row>
    <row r="154" spans="1:31">
      <c r="A154" s="404"/>
      <c r="B154" s="404"/>
      <c r="C154" s="535"/>
      <c r="D154" s="535"/>
      <c r="E154" s="535"/>
      <c r="F154" s="386"/>
      <c r="G154" s="383"/>
      <c r="H154" s="652"/>
      <c r="I154" s="652"/>
      <c r="J154" s="382">
        <f t="shared" si="11"/>
        <v>0</v>
      </c>
      <c r="K154" s="382">
        <f t="shared" si="13"/>
        <v>0</v>
      </c>
      <c r="L154" s="646">
        <f>IFERROR(IF(B154="funkcna poziadavka",VLOOKUP(G154,MODULY_CBA!$B$3:$E$23,4,0)*H154/SUMIFS($H$3:$H$199,$G$3:$G$199,G154,$B$3:$B$199,B154),),)</f>
        <v>0</v>
      </c>
      <c r="M154" s="382">
        <f>IFERROR(IF(B154="Funkcna poziadavka",VLOOKUP(G154,MODULY_CBA!$B$3:$E$23,3,0),),)</f>
        <v>0</v>
      </c>
      <c r="N154" s="382">
        <f>IFERROR(IF(B154="funkcna poziadavka",VLOOKUP(G154,MODULY_CBA!$B$3:$E$23,2,0),),)</f>
        <v>0</v>
      </c>
      <c r="O154" s="381">
        <f t="shared" si="12"/>
        <v>0</v>
      </c>
      <c r="P154" s="380">
        <f>IFERROR(O154*VLOOKUP(G154,MODULY_CBA!$B$3:$F$23,5,0),)</f>
        <v>0</v>
      </c>
      <c r="Q154" s="482" t="str">
        <f>IFERROR(VLOOKUP(G154,MODULY_CBA!$B$3:$I$23,6,0),"")</f>
        <v/>
      </c>
      <c r="R154" s="385"/>
      <c r="S154" s="385"/>
      <c r="T154" s="385"/>
      <c r="U154" s="385"/>
      <c r="V154" s="385"/>
      <c r="W154" s="385"/>
      <c r="X154" s="385"/>
      <c r="Y154" s="385"/>
      <c r="Z154" s="385"/>
      <c r="AA154" s="385"/>
      <c r="AB154" s="385"/>
      <c r="AC154" s="385"/>
      <c r="AD154" s="385"/>
      <c r="AE154" s="385"/>
    </row>
    <row r="155" spans="1:31">
      <c r="A155" s="404"/>
      <c r="B155" s="404"/>
      <c r="C155" s="535"/>
      <c r="D155" s="535"/>
      <c r="E155" s="535"/>
      <c r="F155" s="386"/>
      <c r="G155" s="383"/>
      <c r="H155" s="652"/>
      <c r="I155" s="652"/>
      <c r="J155" s="382">
        <f t="shared" si="11"/>
        <v>0</v>
      </c>
      <c r="K155" s="382">
        <f t="shared" si="13"/>
        <v>0</v>
      </c>
      <c r="L155" s="646">
        <f>IFERROR(IF(B155="funkcna poziadavka",VLOOKUP(G155,MODULY_CBA!$B$3:$E$23,4,0)*H155/SUMIFS($H$3:$H$199,$G$3:$G$199,G155,$B$3:$B$199,B155),),)</f>
        <v>0</v>
      </c>
      <c r="M155" s="382">
        <f>IFERROR(IF(B155="Funkcna poziadavka",VLOOKUP(G155,MODULY_CBA!$B$3:$E$23,3,0),),)</f>
        <v>0</v>
      </c>
      <c r="N155" s="382">
        <f>IFERROR(IF(B155="funkcna poziadavka",VLOOKUP(G155,MODULY_CBA!$B$3:$E$23,2,0),),)</f>
        <v>0</v>
      </c>
      <c r="O155" s="381">
        <f t="shared" si="12"/>
        <v>0</v>
      </c>
      <c r="P155" s="380">
        <f>IFERROR(O155*VLOOKUP(G155,MODULY_CBA!$B$3:$F$23,5,0),)</f>
        <v>0</v>
      </c>
      <c r="Q155" s="482" t="str">
        <f>IFERROR(VLOOKUP(G155,MODULY_CBA!$B$3:$I$23,6,0),"")</f>
        <v/>
      </c>
      <c r="R155" s="385"/>
      <c r="S155" s="385"/>
      <c r="T155" s="385"/>
      <c r="U155" s="385"/>
      <c r="V155" s="385"/>
      <c r="W155" s="385"/>
      <c r="X155" s="385"/>
      <c r="Y155" s="385"/>
      <c r="Z155" s="385"/>
      <c r="AA155" s="385"/>
      <c r="AB155" s="385"/>
      <c r="AC155" s="385"/>
      <c r="AD155" s="385"/>
      <c r="AE155" s="385"/>
    </row>
    <row r="156" spans="1:31">
      <c r="A156" s="404"/>
      <c r="B156" s="404"/>
      <c r="C156" s="535"/>
      <c r="D156" s="535"/>
      <c r="E156" s="535"/>
      <c r="F156" s="386"/>
      <c r="G156" s="383"/>
      <c r="H156" s="652"/>
      <c r="I156" s="652"/>
      <c r="J156" s="382">
        <f t="shared" si="11"/>
        <v>0</v>
      </c>
      <c r="K156" s="382">
        <f t="shared" si="13"/>
        <v>0</v>
      </c>
      <c r="L156" s="646">
        <f>IFERROR(IF(B156="funkcna poziadavka",VLOOKUP(G156,MODULY_CBA!$B$3:$E$23,4,0)*H156/SUMIFS($H$3:$H$199,$G$3:$G$199,G156,$B$3:$B$199,B156),),)</f>
        <v>0</v>
      </c>
      <c r="M156" s="382">
        <f>IFERROR(IF(B156="Funkcna poziadavka",VLOOKUP(G156,MODULY_CBA!$B$3:$E$23,3,0),),)</f>
        <v>0</v>
      </c>
      <c r="N156" s="382">
        <f>IFERROR(IF(B156="funkcna poziadavka",VLOOKUP(G156,MODULY_CBA!$B$3:$E$23,2,0),),)</f>
        <v>0</v>
      </c>
      <c r="O156" s="381">
        <f t="shared" si="12"/>
        <v>0</v>
      </c>
      <c r="P156" s="380">
        <f>IFERROR(O156*VLOOKUP(G156,MODULY_CBA!$B$3:$F$23,5,0),)</f>
        <v>0</v>
      </c>
      <c r="Q156" s="482" t="str">
        <f>IFERROR(VLOOKUP(G156,MODULY_CBA!$B$3:$I$23,6,0),"")</f>
        <v/>
      </c>
      <c r="R156" s="385" t="s">
        <v>168</v>
      </c>
      <c r="S156" s="385" t="s">
        <v>168</v>
      </c>
      <c r="T156" s="385" t="s">
        <v>168</v>
      </c>
      <c r="U156" s="385" t="s">
        <v>168</v>
      </c>
      <c r="V156" s="385" t="s">
        <v>168</v>
      </c>
      <c r="W156" s="385" t="s">
        <v>168</v>
      </c>
      <c r="X156" s="385" t="s">
        <v>168</v>
      </c>
      <c r="Y156" s="385" t="s">
        <v>168</v>
      </c>
      <c r="Z156" s="385" t="s">
        <v>168</v>
      </c>
      <c r="AA156" s="385" t="s">
        <v>168</v>
      </c>
      <c r="AB156" s="385" t="s">
        <v>168</v>
      </c>
      <c r="AC156" s="385" t="s">
        <v>168</v>
      </c>
      <c r="AD156" s="385" t="s">
        <v>168</v>
      </c>
      <c r="AE156" s="385" t="s">
        <v>168</v>
      </c>
    </row>
    <row r="157" spans="1:31">
      <c r="A157" s="404"/>
      <c r="B157" s="404"/>
      <c r="C157" s="535"/>
      <c r="D157" s="535"/>
      <c r="E157" s="535"/>
      <c r="F157" s="386"/>
      <c r="G157" s="383"/>
      <c r="H157" s="652"/>
      <c r="I157" s="652"/>
      <c r="J157" s="382">
        <f t="shared" si="11"/>
        <v>0</v>
      </c>
      <c r="K157" s="382">
        <f t="shared" si="13"/>
        <v>0</v>
      </c>
      <c r="L157" s="646">
        <f>IFERROR(IF(B157="funkcna poziadavka",VLOOKUP(G157,MODULY_CBA!$B$3:$E$23,4,0)*H157/SUMIFS($H$3:$H$199,$G$3:$G$199,G157,$B$3:$B$199,B157),),)</f>
        <v>0</v>
      </c>
      <c r="M157" s="382">
        <f>IFERROR(IF(B157="Funkcna poziadavka",VLOOKUP(G157,MODULY_CBA!$B$3:$E$23,3,0),),)</f>
        <v>0</v>
      </c>
      <c r="N157" s="382">
        <f>IFERROR(IF(B157="funkcna poziadavka",VLOOKUP(G157,MODULY_CBA!$B$3:$E$23,2,0),),)</f>
        <v>0</v>
      </c>
      <c r="O157" s="381">
        <f t="shared" si="12"/>
        <v>0</v>
      </c>
      <c r="P157" s="380">
        <f>IFERROR(O157*VLOOKUP(G157,MODULY_CBA!$B$3:$F$23,5,0),)</f>
        <v>0</v>
      </c>
      <c r="Q157" s="482" t="str">
        <f>IFERROR(VLOOKUP(G157,MODULY_CBA!$B$3:$I$23,6,0),"")</f>
        <v/>
      </c>
      <c r="R157" s="385"/>
      <c r="S157" s="385"/>
      <c r="T157" s="385"/>
      <c r="U157" s="385"/>
      <c r="V157" s="385"/>
      <c r="W157" s="385"/>
      <c r="X157" s="385"/>
      <c r="Y157" s="385"/>
      <c r="Z157" s="385"/>
      <c r="AA157" s="385"/>
      <c r="AB157" s="385"/>
      <c r="AC157" s="385"/>
      <c r="AD157" s="385"/>
      <c r="AE157" s="385"/>
    </row>
    <row r="158" spans="1:31">
      <c r="A158" s="404"/>
      <c r="B158" s="404"/>
      <c r="C158" s="535"/>
      <c r="D158" s="535"/>
      <c r="E158" s="392"/>
      <c r="F158" s="386"/>
      <c r="G158" s="383"/>
      <c r="H158" s="652"/>
      <c r="I158" s="652"/>
      <c r="J158" s="382">
        <f t="shared" si="11"/>
        <v>0</v>
      </c>
      <c r="K158" s="382">
        <f t="shared" si="13"/>
        <v>0</v>
      </c>
      <c r="L158" s="646">
        <f>IFERROR(IF(B158="funkcna poziadavka",VLOOKUP(G158,MODULY_CBA!$B$3:$E$23,4,0)*H158/SUMIFS($H$3:$H$199,$G$3:$G$199,G158,$B$3:$B$199,B158),),)</f>
        <v>0</v>
      </c>
      <c r="M158" s="382">
        <f>IFERROR(IF(B158="Funkcna poziadavka",VLOOKUP(G158,MODULY_CBA!$B$3:$E$23,3,0),),)</f>
        <v>0</v>
      </c>
      <c r="N158" s="382">
        <f>IFERROR(IF(B158="funkcna poziadavka",VLOOKUP(G158,MODULY_CBA!$B$3:$E$23,2,0),),)</f>
        <v>0</v>
      </c>
      <c r="O158" s="381">
        <f t="shared" si="12"/>
        <v>0</v>
      </c>
      <c r="P158" s="380">
        <f>IFERROR(O158*VLOOKUP(G158,MODULY_CBA!$B$3:$F$23,5,0),)</f>
        <v>0</v>
      </c>
      <c r="Q158" s="482" t="str">
        <f>IFERROR(VLOOKUP(G158,MODULY_CBA!$B$3:$I$23,6,0),"")</f>
        <v/>
      </c>
      <c r="R158" s="385"/>
      <c r="S158" s="385"/>
      <c r="T158" s="385"/>
      <c r="U158" s="385"/>
      <c r="V158" s="385"/>
      <c r="W158" s="385"/>
      <c r="X158" s="385"/>
      <c r="Y158" s="385"/>
      <c r="Z158" s="385"/>
      <c r="AA158" s="385"/>
      <c r="AB158" s="385"/>
      <c r="AC158" s="385"/>
      <c r="AD158" s="385"/>
      <c r="AE158" s="385"/>
    </row>
    <row r="159" spans="1:31">
      <c r="A159" s="404"/>
      <c r="B159" s="404"/>
      <c r="C159" s="535"/>
      <c r="D159" s="535"/>
      <c r="E159" s="392"/>
      <c r="F159" s="386"/>
      <c r="G159" s="386"/>
      <c r="H159" s="652"/>
      <c r="I159" s="652"/>
      <c r="J159" s="382">
        <f t="shared" si="11"/>
        <v>0</v>
      </c>
      <c r="K159" s="382">
        <f t="shared" si="13"/>
        <v>0</v>
      </c>
      <c r="L159" s="646">
        <f>IFERROR(IF(B159="funkcna poziadavka",VLOOKUP(G159,MODULY_CBA!$B$3:$E$23,4,0)*H159/SUMIFS($H$3:$H$199,$G$3:$G$199,G159,$B$3:$B$199,B159),),)</f>
        <v>0</v>
      </c>
      <c r="M159" s="382">
        <f>IFERROR(IF(B159="Funkcna poziadavka",VLOOKUP(G159,MODULY_CBA!$B$3:$E$23,3,0),),)</f>
        <v>0</v>
      </c>
      <c r="N159" s="382">
        <f>IFERROR(IF(B159="funkcna poziadavka",VLOOKUP(G159,MODULY_CBA!$B$3:$E$23,2,0),),)</f>
        <v>0</v>
      </c>
      <c r="O159" s="381">
        <f t="shared" si="12"/>
        <v>0</v>
      </c>
      <c r="P159" s="380">
        <f>IFERROR(O159*VLOOKUP(G159,MODULY_CBA!$B$3:$F$23,5,0),)</f>
        <v>0</v>
      </c>
      <c r="Q159" s="482" t="str">
        <f>IFERROR(VLOOKUP(G159,MODULY_CBA!$B$3:$I$23,6,0),"")</f>
        <v/>
      </c>
      <c r="R159" s="385"/>
      <c r="S159" s="385"/>
      <c r="T159" s="385"/>
      <c r="U159" s="385"/>
      <c r="V159" s="385"/>
      <c r="W159" s="385"/>
      <c r="X159" s="385"/>
      <c r="Y159" s="385"/>
      <c r="Z159" s="385"/>
      <c r="AA159" s="385"/>
      <c r="AB159" s="385"/>
      <c r="AC159" s="385"/>
      <c r="AD159" s="385"/>
      <c r="AE159" s="385"/>
    </row>
    <row r="160" spans="1:31">
      <c r="A160" s="404"/>
      <c r="B160" s="404"/>
      <c r="C160" s="535"/>
      <c r="D160" s="535"/>
      <c r="E160" s="535"/>
      <c r="F160" s="386"/>
      <c r="G160" s="386"/>
      <c r="H160" s="652"/>
      <c r="I160" s="652"/>
      <c r="J160" s="382">
        <f t="shared" si="11"/>
        <v>0</v>
      </c>
      <c r="K160" s="382">
        <f t="shared" si="13"/>
        <v>0</v>
      </c>
      <c r="L160" s="646">
        <f>IFERROR(IF(B160="funkcna poziadavka",VLOOKUP(G160,MODULY_CBA!$B$3:$E$23,4,0)*H160/SUMIFS($H$3:$H$199,$G$3:$G$199,G160,$B$3:$B$199,B160),),)</f>
        <v>0</v>
      </c>
      <c r="M160" s="382">
        <f>IFERROR(IF(B160="Funkcna poziadavka",VLOOKUP(G160,MODULY_CBA!$B$3:$E$23,3,0),),)</f>
        <v>0</v>
      </c>
      <c r="N160" s="382">
        <f>IFERROR(IF(B160="funkcna poziadavka",VLOOKUP(G160,MODULY_CBA!$B$3:$E$23,2,0),),)</f>
        <v>0</v>
      </c>
      <c r="O160" s="381">
        <f t="shared" si="12"/>
        <v>0</v>
      </c>
      <c r="P160" s="380">
        <f>IFERROR(O160*VLOOKUP(G160,MODULY_CBA!$B$3:$F$23,5,0),)</f>
        <v>0</v>
      </c>
      <c r="Q160" s="482" t="str">
        <f>IFERROR(VLOOKUP(G160,MODULY_CBA!$B$3:$I$23,6,0),"")</f>
        <v/>
      </c>
      <c r="R160" s="385"/>
      <c r="S160" s="385"/>
      <c r="T160" s="385"/>
      <c r="U160" s="385"/>
      <c r="V160" s="385"/>
      <c r="W160" s="385"/>
      <c r="X160" s="385"/>
      <c r="Y160" s="385"/>
      <c r="Z160" s="385"/>
      <c r="AA160" s="385"/>
      <c r="AB160" s="385"/>
      <c r="AC160" s="385"/>
      <c r="AD160" s="385"/>
      <c r="AE160" s="385"/>
    </row>
    <row r="161" spans="1:32">
      <c r="A161" s="404"/>
      <c r="B161" s="404"/>
      <c r="C161" s="535"/>
      <c r="D161" s="535"/>
      <c r="E161" s="535"/>
      <c r="F161" s="386"/>
      <c r="G161" s="386"/>
      <c r="H161" s="652"/>
      <c r="I161" s="652"/>
      <c r="J161" s="382">
        <f t="shared" si="11"/>
        <v>0</v>
      </c>
      <c r="K161" s="382">
        <f t="shared" si="13"/>
        <v>0</v>
      </c>
      <c r="L161" s="646">
        <f>IFERROR(IF(B161="funkcna poziadavka",VLOOKUP(G161,MODULY_CBA!$B$3:$E$23,4,0)*H161/SUMIFS($H$3:$H$199,$G$3:$G$199,G161,$B$3:$B$199,B161),),)</f>
        <v>0</v>
      </c>
      <c r="M161" s="382">
        <f>IFERROR(IF(B161="Funkcna poziadavka",VLOOKUP(G161,MODULY_CBA!$B$3:$E$23,3,0),),)</f>
        <v>0</v>
      </c>
      <c r="N161" s="382">
        <f>IFERROR(IF(B161="funkcna poziadavka",VLOOKUP(G161,MODULY_CBA!$B$3:$E$23,2,0),),)</f>
        <v>0</v>
      </c>
      <c r="O161" s="381">
        <f t="shared" si="12"/>
        <v>0</v>
      </c>
      <c r="P161" s="380">
        <f>IFERROR(O161*VLOOKUP(G161,MODULY_CBA!$B$3:$F$23,5,0),)</f>
        <v>0</v>
      </c>
      <c r="Q161" s="482" t="str">
        <f>IFERROR(VLOOKUP(G161,MODULY_CBA!$B$3:$I$23,6,0),"")</f>
        <v/>
      </c>
      <c r="R161" s="385"/>
      <c r="S161" s="385"/>
      <c r="T161" s="385"/>
      <c r="U161" s="385"/>
      <c r="V161" s="385"/>
      <c r="W161" s="385"/>
      <c r="X161" s="385"/>
      <c r="Y161" s="385"/>
      <c r="Z161" s="385"/>
      <c r="AA161" s="385"/>
      <c r="AB161" s="385"/>
      <c r="AC161" s="385"/>
      <c r="AD161" s="385"/>
      <c r="AE161" s="385"/>
    </row>
    <row r="162" spans="1:32">
      <c r="A162" s="404"/>
      <c r="B162" s="404"/>
      <c r="C162" s="535"/>
      <c r="D162" s="535"/>
      <c r="E162" s="535"/>
      <c r="F162" s="386"/>
      <c r="G162" s="386"/>
      <c r="H162" s="652"/>
      <c r="I162" s="652"/>
      <c r="J162" s="382">
        <f t="shared" si="11"/>
        <v>0</v>
      </c>
      <c r="K162" s="382">
        <f t="shared" si="13"/>
        <v>0</v>
      </c>
      <c r="L162" s="646">
        <f>IFERROR(IF(B162="funkcna poziadavka",VLOOKUP(G162,MODULY_CBA!$B$3:$E$23,4,0)*H162/SUMIFS($H$3:$H$199,$G$3:$G$199,G162,$B$3:$B$199,B162),),)</f>
        <v>0</v>
      </c>
      <c r="M162" s="382">
        <f>IFERROR(IF(B162="Funkcna poziadavka",VLOOKUP(G162,MODULY_CBA!$B$3:$E$23,3,0),),)</f>
        <v>0</v>
      </c>
      <c r="N162" s="382">
        <f>IFERROR(IF(B162="funkcna poziadavka",VLOOKUP(G162,MODULY_CBA!$B$3:$E$23,2,0),),)</f>
        <v>0</v>
      </c>
      <c r="O162" s="381">
        <f t="shared" si="12"/>
        <v>0</v>
      </c>
      <c r="P162" s="380">
        <f>IFERROR(O162*VLOOKUP(G162,MODULY_CBA!$B$3:$F$23,5,0),)</f>
        <v>0</v>
      </c>
      <c r="Q162" s="482" t="str">
        <f>IFERROR(VLOOKUP(G162,MODULY_CBA!$B$3:$I$23,6,0),"")</f>
        <v/>
      </c>
      <c r="R162" s="385"/>
      <c r="S162" s="385"/>
      <c r="T162" s="385"/>
      <c r="U162" s="385"/>
      <c r="V162" s="385"/>
      <c r="W162" s="385"/>
      <c r="X162" s="385"/>
      <c r="Y162" s="385"/>
      <c r="Z162" s="385"/>
      <c r="AA162" s="385"/>
      <c r="AB162" s="385"/>
      <c r="AC162" s="385"/>
      <c r="AD162" s="385"/>
      <c r="AE162" s="385"/>
    </row>
    <row r="163" spans="1:32">
      <c r="A163" s="404"/>
      <c r="B163" s="404"/>
      <c r="C163" s="535"/>
      <c r="D163" s="535"/>
      <c r="E163" s="535"/>
      <c r="F163" s="386"/>
      <c r="G163" s="386"/>
      <c r="H163" s="652"/>
      <c r="I163" s="652"/>
      <c r="J163" s="382">
        <f t="shared" ref="J163:J169" si="14">IF(ISNUMBER(H163),H163,)</f>
        <v>0</v>
      </c>
      <c r="K163" s="382">
        <f t="shared" si="13"/>
        <v>0</v>
      </c>
      <c r="L163" s="646">
        <f>IFERROR(IF(B163="funkcna poziadavka",VLOOKUP(G163,MODULY_CBA!$B$3:$E$23,4,0)*H163/SUMIFS($H$3:$H$199,$G$3:$G$199,G163,$B$3:$B$199,B163),),)</f>
        <v>0</v>
      </c>
      <c r="M163" s="382">
        <f>IFERROR(IF(B163="Funkcna poziadavka",VLOOKUP(G163,MODULY_CBA!$B$3:$E$23,3,0),),)</f>
        <v>0</v>
      </c>
      <c r="N163" s="382">
        <f>IFERROR(IF(B163="funkcna poziadavka",VLOOKUP(G163,MODULY_CBA!$B$3:$E$23,2,0),),)</f>
        <v>0</v>
      </c>
      <c r="O163" s="381">
        <f t="shared" ref="O163:O169" si="15">(K163+L163)*M163*N163</f>
        <v>0</v>
      </c>
      <c r="P163" s="380">
        <f>IFERROR(O163*VLOOKUP(G163,MODULY_CBA!$B$3:$F$23,5,0),)</f>
        <v>0</v>
      </c>
      <c r="Q163" s="482" t="str">
        <f>IFERROR(VLOOKUP(G163,MODULY_CBA!$B$3:$I$23,6,0),"")</f>
        <v/>
      </c>
      <c r="R163" s="385" t="s">
        <v>168</v>
      </c>
      <c r="S163" s="385" t="s">
        <v>168</v>
      </c>
      <c r="T163" s="385" t="s">
        <v>168</v>
      </c>
      <c r="U163" s="385" t="s">
        <v>168</v>
      </c>
      <c r="V163" s="385" t="s">
        <v>168</v>
      </c>
      <c r="W163" s="385" t="s">
        <v>168</v>
      </c>
      <c r="X163" s="385" t="s">
        <v>168</v>
      </c>
      <c r="Y163" s="385" t="s">
        <v>168</v>
      </c>
      <c r="Z163" s="385" t="s">
        <v>168</v>
      </c>
      <c r="AA163" s="385" t="s">
        <v>168</v>
      </c>
      <c r="AB163" s="385" t="s">
        <v>168</v>
      </c>
      <c r="AC163" s="385" t="s">
        <v>168</v>
      </c>
      <c r="AD163" s="385" t="s">
        <v>168</v>
      </c>
      <c r="AE163" s="385" t="s">
        <v>168</v>
      </c>
    </row>
    <row r="164" spans="1:32">
      <c r="A164" s="404"/>
      <c r="B164" s="404"/>
      <c r="C164" s="535"/>
      <c r="D164" s="535"/>
      <c r="E164" s="535"/>
      <c r="F164" s="386"/>
      <c r="G164" s="386"/>
      <c r="H164" s="652"/>
      <c r="I164" s="652"/>
      <c r="J164" s="382">
        <f t="shared" si="14"/>
        <v>0</v>
      </c>
      <c r="K164" s="382">
        <f t="shared" si="13"/>
        <v>0</v>
      </c>
      <c r="L164" s="646">
        <f>IFERROR(IF(B164="funkcna poziadavka",VLOOKUP(G164,MODULY_CBA!$B$3:$E$23,4,0)*H164/SUMIFS($H$3:$H$199,$G$3:$G$199,G164,$B$3:$B$199,B164),),)</f>
        <v>0</v>
      </c>
      <c r="M164" s="382">
        <f>IFERROR(IF(B164="Funkcna poziadavka",VLOOKUP(G164,MODULY_CBA!$B$3:$E$23,3,0),),)</f>
        <v>0</v>
      </c>
      <c r="N164" s="382">
        <f>IFERROR(IF(B164="funkcna poziadavka",VLOOKUP(G164,MODULY_CBA!$B$3:$E$23,2,0),),)</f>
        <v>0</v>
      </c>
      <c r="O164" s="381">
        <f t="shared" si="15"/>
        <v>0</v>
      </c>
      <c r="P164" s="380">
        <f>IFERROR(O164*VLOOKUP(G164,MODULY_CBA!$B$3:$F$23,5,0),)</f>
        <v>0</v>
      </c>
      <c r="Q164" s="482" t="str">
        <f>IFERROR(VLOOKUP(G164,MODULY_CBA!$B$3:$I$23,6,0),"")</f>
        <v/>
      </c>
      <c r="R164" s="385" t="s">
        <v>168</v>
      </c>
      <c r="S164" s="385" t="s">
        <v>168</v>
      </c>
      <c r="T164" s="385" t="s">
        <v>168</v>
      </c>
      <c r="U164" s="385" t="s">
        <v>168</v>
      </c>
      <c r="V164" s="385" t="s">
        <v>168</v>
      </c>
      <c r="W164" s="385" t="s">
        <v>168</v>
      </c>
      <c r="X164" s="385" t="s">
        <v>168</v>
      </c>
      <c r="Y164" s="385" t="s">
        <v>168</v>
      </c>
      <c r="Z164" s="385" t="s">
        <v>168</v>
      </c>
      <c r="AA164" s="385" t="s">
        <v>168</v>
      </c>
      <c r="AB164" s="385" t="s">
        <v>168</v>
      </c>
      <c r="AC164" s="385" t="s">
        <v>168</v>
      </c>
      <c r="AD164" s="385" t="s">
        <v>168</v>
      </c>
      <c r="AE164" s="385" t="s">
        <v>168</v>
      </c>
      <c r="AF164" s="377"/>
    </row>
    <row r="165" spans="1:32">
      <c r="A165" s="404"/>
      <c r="B165" s="404"/>
      <c r="C165" s="535"/>
      <c r="D165" s="535"/>
      <c r="E165" s="535"/>
      <c r="F165" s="386"/>
      <c r="G165" s="386"/>
      <c r="H165" s="652"/>
      <c r="I165" s="652"/>
      <c r="J165" s="382">
        <f t="shared" si="14"/>
        <v>0</v>
      </c>
      <c r="K165" s="382">
        <f t="shared" si="13"/>
        <v>0</v>
      </c>
      <c r="L165" s="646">
        <f>IFERROR(IF(B165="funkcna poziadavka",VLOOKUP(G165,MODULY_CBA!$B$3:$E$23,4,0)*H165/SUMIFS($H$3:$H$199,$G$3:$G$199,G165,$B$3:$B$199,B165),),)</f>
        <v>0</v>
      </c>
      <c r="M165" s="382">
        <f>IFERROR(IF(B165="Funkcna poziadavka",VLOOKUP(G165,MODULY_CBA!$B$3:$E$23,3,0),),)</f>
        <v>0</v>
      </c>
      <c r="N165" s="382">
        <f>IFERROR(IF(B165="funkcna poziadavka",VLOOKUP(G165,MODULY_CBA!$B$3:$E$23,2,0),),)</f>
        <v>0</v>
      </c>
      <c r="O165" s="381">
        <f t="shared" si="15"/>
        <v>0</v>
      </c>
      <c r="P165" s="380">
        <f>IFERROR(O165*VLOOKUP(G165,MODULY_CBA!$B$3:$F$23,5,0),)</f>
        <v>0</v>
      </c>
      <c r="Q165" s="482" t="str">
        <f>IFERROR(VLOOKUP(G165,MODULY_CBA!$B$3:$I$23,6,0),"")</f>
        <v/>
      </c>
      <c r="R165" s="385"/>
      <c r="S165" s="385"/>
      <c r="T165" s="385"/>
      <c r="U165" s="385"/>
      <c r="V165" s="385"/>
      <c r="W165" s="385"/>
      <c r="X165" s="385"/>
      <c r="Y165" s="385"/>
      <c r="Z165" s="385"/>
      <c r="AA165" s="385"/>
      <c r="AB165" s="385"/>
      <c r="AC165" s="385"/>
      <c r="AD165" s="385"/>
      <c r="AE165" s="385"/>
      <c r="AF165" s="377"/>
    </row>
    <row r="166" spans="1:32">
      <c r="A166" s="404"/>
      <c r="B166" s="404"/>
      <c r="C166" s="535"/>
      <c r="D166" s="535"/>
      <c r="E166" s="535"/>
      <c r="F166" s="386"/>
      <c r="G166" s="386"/>
      <c r="H166" s="652"/>
      <c r="I166" s="652"/>
      <c r="J166" s="382">
        <f t="shared" si="14"/>
        <v>0</v>
      </c>
      <c r="K166" s="382">
        <f t="shared" si="13"/>
        <v>0</v>
      </c>
      <c r="L166" s="646">
        <f>IFERROR(IF(B166="funkcna poziadavka",VLOOKUP(G166,MODULY_CBA!$B$3:$E$23,4,0)*H166/SUMIFS($H$3:$H$199,$G$3:$G$199,G166,$B$3:$B$199,B166),),)</f>
        <v>0</v>
      </c>
      <c r="M166" s="382">
        <f>IFERROR(IF(B166="Funkcna poziadavka",VLOOKUP(G166,MODULY_CBA!$B$3:$E$23,3,0),),)</f>
        <v>0</v>
      </c>
      <c r="N166" s="382">
        <f>IFERROR(IF(B166="funkcna poziadavka",VLOOKUP(G166,MODULY_CBA!$B$3:$E$23,2,0),),)</f>
        <v>0</v>
      </c>
      <c r="O166" s="381">
        <f t="shared" si="15"/>
        <v>0</v>
      </c>
      <c r="P166" s="380">
        <f>IFERROR(O166*VLOOKUP(G166,MODULY_CBA!$B$3:$F$23,5,0),)</f>
        <v>0</v>
      </c>
      <c r="Q166" s="482" t="str">
        <f>IFERROR(VLOOKUP(G166,MODULY_CBA!$B$3:$I$23,6,0),"")</f>
        <v/>
      </c>
      <c r="R166" s="385" t="s">
        <v>168</v>
      </c>
      <c r="S166" s="385" t="s">
        <v>168</v>
      </c>
      <c r="T166" s="385" t="s">
        <v>168</v>
      </c>
      <c r="U166" s="385" t="s">
        <v>168</v>
      </c>
      <c r="V166" s="385" t="s">
        <v>168</v>
      </c>
      <c r="W166" s="385" t="s">
        <v>168</v>
      </c>
      <c r="X166" s="385" t="s">
        <v>168</v>
      </c>
      <c r="Y166" s="385" t="s">
        <v>168</v>
      </c>
      <c r="Z166" s="385" t="s">
        <v>168</v>
      </c>
      <c r="AA166" s="385" t="s">
        <v>168</v>
      </c>
      <c r="AB166" s="385" t="s">
        <v>168</v>
      </c>
      <c r="AC166" s="385" t="s">
        <v>168</v>
      </c>
      <c r="AD166" s="385" t="s">
        <v>168</v>
      </c>
      <c r="AE166" s="385" t="s">
        <v>168</v>
      </c>
      <c r="AF166" s="377"/>
    </row>
    <row r="167" spans="1:32">
      <c r="A167" s="404"/>
      <c r="B167" s="404"/>
      <c r="C167" s="535"/>
      <c r="D167" s="535"/>
      <c r="E167" s="535"/>
      <c r="F167" s="386"/>
      <c r="G167" s="386"/>
      <c r="H167" s="652"/>
      <c r="I167" s="652"/>
      <c r="J167" s="382">
        <f t="shared" si="14"/>
        <v>0</v>
      </c>
      <c r="K167" s="382">
        <f t="shared" si="13"/>
        <v>0</v>
      </c>
      <c r="L167" s="646">
        <f>IFERROR(IF(B167="funkcna poziadavka",VLOOKUP(G167,MODULY_CBA!$B$3:$E$23,4,0)*H167/SUMIFS($H$3:$H$199,$G$3:$G$199,G167,$B$3:$B$199,B167),),)</f>
        <v>0</v>
      </c>
      <c r="M167" s="382">
        <f>IFERROR(IF(B167="Funkcna poziadavka",VLOOKUP(G167,MODULY_CBA!$B$3:$E$23,3,0),),)</f>
        <v>0</v>
      </c>
      <c r="N167" s="382">
        <f>IFERROR(IF(B167="funkcna poziadavka",VLOOKUP(G167,MODULY_CBA!$B$3:$E$23,2,0),),)</f>
        <v>0</v>
      </c>
      <c r="O167" s="381">
        <f t="shared" si="15"/>
        <v>0</v>
      </c>
      <c r="P167" s="380">
        <f>IFERROR(O167*VLOOKUP(G167,MODULY_CBA!$B$3:$F$23,5,0),)</f>
        <v>0</v>
      </c>
      <c r="Q167" s="482" t="str">
        <f>IFERROR(VLOOKUP(G167,MODULY_CBA!$B$3:$I$23,6,0),"")</f>
        <v/>
      </c>
      <c r="R167" s="385" t="s">
        <v>168</v>
      </c>
      <c r="S167" s="385" t="s">
        <v>168</v>
      </c>
      <c r="T167" s="385" t="s">
        <v>168</v>
      </c>
      <c r="U167" s="385" t="s">
        <v>168</v>
      </c>
      <c r="V167" s="385" t="s">
        <v>168</v>
      </c>
      <c r="W167" s="385" t="s">
        <v>168</v>
      </c>
      <c r="X167" s="385" t="s">
        <v>168</v>
      </c>
      <c r="Y167" s="385" t="s">
        <v>168</v>
      </c>
      <c r="Z167" s="385" t="s">
        <v>168</v>
      </c>
      <c r="AA167" s="385" t="s">
        <v>168</v>
      </c>
      <c r="AB167" s="385" t="s">
        <v>168</v>
      </c>
      <c r="AC167" s="385" t="s">
        <v>168</v>
      </c>
      <c r="AD167" s="385" t="s">
        <v>168</v>
      </c>
      <c r="AE167" s="385" t="s">
        <v>168</v>
      </c>
      <c r="AF167" s="377"/>
    </row>
    <row r="168" spans="1:32">
      <c r="A168" s="404"/>
      <c r="B168" s="404"/>
      <c r="C168" s="535"/>
      <c r="D168" s="535"/>
      <c r="E168" s="535"/>
      <c r="F168" s="386"/>
      <c r="G168" s="386"/>
      <c r="H168" s="652"/>
      <c r="I168" s="652"/>
      <c r="J168" s="382">
        <f t="shared" si="14"/>
        <v>0</v>
      </c>
      <c r="K168" s="382">
        <f t="shared" si="13"/>
        <v>0</v>
      </c>
      <c r="L168" s="646">
        <f>IFERROR(IF(B168="funkcna poziadavka",VLOOKUP(G168,MODULY_CBA!$B$3:$E$23,4,0)*H168/SUMIFS($H$3:$H$199,$G$3:$G$199,G168,$B$3:$B$199,B168),),)</f>
        <v>0</v>
      </c>
      <c r="M168" s="382">
        <f>IFERROR(IF(B168="Funkcna poziadavka",VLOOKUP(G168,MODULY_CBA!$B$3:$E$23,3,0),),)</f>
        <v>0</v>
      </c>
      <c r="N168" s="382">
        <f>IFERROR(IF(B168="funkcna poziadavka",VLOOKUP(G168,MODULY_CBA!$B$3:$E$23,2,0),),)</f>
        <v>0</v>
      </c>
      <c r="O168" s="381">
        <f t="shared" si="15"/>
        <v>0</v>
      </c>
      <c r="P168" s="380">
        <f>IFERROR(O168*VLOOKUP(G168,MODULY_CBA!$B$3:$F$23,5,0),)</f>
        <v>0</v>
      </c>
      <c r="Q168" s="482" t="str">
        <f>IFERROR(VLOOKUP(G168,MODULY_CBA!$B$3:$I$23,6,0),"")</f>
        <v/>
      </c>
      <c r="R168" s="385"/>
      <c r="S168" s="385"/>
      <c r="T168" s="385"/>
      <c r="U168" s="385"/>
      <c r="V168" s="385"/>
      <c r="W168" s="385"/>
      <c r="X168" s="385"/>
      <c r="Y168" s="385"/>
      <c r="Z168" s="385"/>
      <c r="AA168" s="385"/>
      <c r="AB168" s="385"/>
      <c r="AC168" s="385"/>
      <c r="AD168" s="385"/>
      <c r="AE168" s="385"/>
      <c r="AF168" s="377"/>
    </row>
    <row r="169" spans="1:32">
      <c r="A169" s="404"/>
      <c r="B169" s="404"/>
      <c r="C169" s="535"/>
      <c r="D169" s="535"/>
      <c r="E169" s="535"/>
      <c r="F169" s="386"/>
      <c r="G169" s="386"/>
      <c r="H169" s="652"/>
      <c r="I169" s="652"/>
      <c r="J169" s="382">
        <f t="shared" si="14"/>
        <v>0</v>
      </c>
      <c r="K169" s="382">
        <f t="shared" si="13"/>
        <v>0</v>
      </c>
      <c r="L169" s="646">
        <f>IFERROR(IF(B169="funkcna poziadavka",VLOOKUP(G169,MODULY_CBA!$B$3:$E$23,4,0)*H169/SUMIFS($H$3:$H$199,$G$3:$G$199,G169,$B$3:$B$199,B169),),)</f>
        <v>0</v>
      </c>
      <c r="M169" s="382">
        <f>IFERROR(IF(B169="Funkcna poziadavka",VLOOKUP(G169,MODULY_CBA!$B$3:$E$23,3,0),),)</f>
        <v>0</v>
      </c>
      <c r="N169" s="382">
        <f>IFERROR(IF(B169="funkcna poziadavka",VLOOKUP(G169,MODULY_CBA!$B$3:$E$23,2,0),),)</f>
        <v>0</v>
      </c>
      <c r="O169" s="381">
        <f t="shared" si="15"/>
        <v>0</v>
      </c>
      <c r="P169" s="380">
        <f>IFERROR(O169*VLOOKUP(G169,MODULY_CBA!$B$3:$F$23,5,0),)</f>
        <v>0</v>
      </c>
      <c r="Q169" s="482" t="str">
        <f>IFERROR(VLOOKUP(G169,MODULY_CBA!$B$3:$I$23,6,0),"")</f>
        <v/>
      </c>
      <c r="R169" s="385"/>
      <c r="S169" s="385"/>
      <c r="T169" s="385"/>
      <c r="U169" s="385"/>
      <c r="V169" s="385"/>
      <c r="W169" s="385"/>
      <c r="X169" s="385"/>
      <c r="Y169" s="385"/>
      <c r="Z169" s="385"/>
      <c r="AA169" s="385"/>
      <c r="AB169" s="385"/>
      <c r="AC169" s="385"/>
      <c r="AD169" s="385"/>
      <c r="AE169" s="385"/>
      <c r="AF169" s="377"/>
    </row>
    <row r="170" spans="1:32">
      <c r="A170" s="404"/>
      <c r="B170" s="404"/>
      <c r="C170" s="535"/>
      <c r="D170" s="535"/>
      <c r="E170" s="535"/>
      <c r="F170" s="386"/>
      <c r="G170" s="386"/>
      <c r="H170" s="652"/>
      <c r="I170" s="652"/>
      <c r="J170" s="382">
        <f t="shared" ref="J170:J233" si="16">IF(ISNUMBER(H170),H170,)</f>
        <v>0</v>
      </c>
      <c r="K170" s="382">
        <f t="shared" ref="K170:K233" si="17">H170*I170</f>
        <v>0</v>
      </c>
      <c r="L170" s="646">
        <f>IFERROR(IF(B170="funkcna poziadavka",VLOOKUP(G170,MODULY_CBA!$B$3:$E$23,4,0)*H170/SUMIFS($H$3:$H$199,$G$3:$G$199,G170,$B$3:$B$199,B170),),)</f>
        <v>0</v>
      </c>
      <c r="M170" s="382">
        <f>IFERROR(IF(B170="Funkcna poziadavka",VLOOKUP(G170,MODULY_CBA!$B$3:$E$23,3,0),),)</f>
        <v>0</v>
      </c>
      <c r="N170" s="382">
        <f>IFERROR(IF(B170="funkcna poziadavka",VLOOKUP(G170,MODULY_CBA!$B$3:$E$23,2,0),),)</f>
        <v>0</v>
      </c>
      <c r="O170" s="381">
        <f t="shared" ref="O170:O233" si="18">(K170+L170)*M170*N170</f>
        <v>0</v>
      </c>
      <c r="P170" s="380">
        <f>IFERROR(O170*VLOOKUP(G170,MODULY_CBA!$B$3:$F$23,5,0),)</f>
        <v>0</v>
      </c>
      <c r="Q170" s="482" t="str">
        <f>IFERROR(VLOOKUP(G170,MODULY_CBA!$B$3:$I$23,6,0),"")</f>
        <v/>
      </c>
      <c r="R170" s="385"/>
      <c r="S170" s="385"/>
      <c r="T170" s="385"/>
      <c r="U170" s="385"/>
      <c r="V170" s="385"/>
      <c r="W170" s="385"/>
      <c r="X170" s="385"/>
      <c r="Y170" s="385"/>
      <c r="Z170" s="385"/>
      <c r="AA170" s="385"/>
      <c r="AB170" s="385"/>
      <c r="AC170" s="385"/>
      <c r="AD170" s="385"/>
      <c r="AE170" s="385"/>
      <c r="AF170" s="377"/>
    </row>
    <row r="171" spans="1:32">
      <c r="A171" s="404"/>
      <c r="B171" s="404"/>
      <c r="C171" s="535"/>
      <c r="D171" s="535"/>
      <c r="E171" s="535"/>
      <c r="F171" s="386"/>
      <c r="G171" s="386"/>
      <c r="H171" s="652"/>
      <c r="I171" s="652"/>
      <c r="J171" s="382">
        <f t="shared" si="16"/>
        <v>0</v>
      </c>
      <c r="K171" s="382">
        <f t="shared" si="17"/>
        <v>0</v>
      </c>
      <c r="L171" s="646">
        <f>IFERROR(IF(B171="funkcna poziadavka",VLOOKUP(G171,MODULY_CBA!$B$3:$E$23,4,0)*H171/SUMIFS($H$3:$H$199,$G$3:$G$199,G171,$B$3:$B$199,B171),),)</f>
        <v>0</v>
      </c>
      <c r="M171" s="382">
        <f>IFERROR(IF(B171="Funkcna poziadavka",VLOOKUP(G171,MODULY_CBA!$B$3:$E$23,3,0),),)</f>
        <v>0</v>
      </c>
      <c r="N171" s="382">
        <f>IFERROR(IF(B171="funkcna poziadavka",VLOOKUP(G171,MODULY_CBA!$B$3:$E$23,2,0),),)</f>
        <v>0</v>
      </c>
      <c r="O171" s="381">
        <f t="shared" si="18"/>
        <v>0</v>
      </c>
      <c r="P171" s="380">
        <f>IFERROR(O171*VLOOKUP(G171,MODULY_CBA!$B$3:$F$23,5,0),)</f>
        <v>0</v>
      </c>
      <c r="Q171" s="482" t="str">
        <f>IFERROR(VLOOKUP(G171,MODULY_CBA!$B$3:$I$23,6,0),"")</f>
        <v/>
      </c>
      <c r="R171" s="385"/>
      <c r="S171" s="385"/>
      <c r="T171" s="385"/>
      <c r="U171" s="385"/>
      <c r="V171" s="385"/>
      <c r="W171" s="385"/>
      <c r="X171" s="385"/>
      <c r="Y171" s="385"/>
      <c r="Z171" s="385"/>
      <c r="AA171" s="385"/>
      <c r="AB171" s="385"/>
      <c r="AC171" s="385"/>
      <c r="AD171" s="385"/>
      <c r="AE171" s="385"/>
      <c r="AF171" s="377"/>
    </row>
    <row r="172" spans="1:32">
      <c r="A172" s="404"/>
      <c r="B172" s="404"/>
      <c r="C172" s="535"/>
      <c r="D172" s="535"/>
      <c r="E172" s="535"/>
      <c r="F172" s="386"/>
      <c r="G172" s="386"/>
      <c r="H172" s="652"/>
      <c r="I172" s="652"/>
      <c r="J172" s="382">
        <f t="shared" si="16"/>
        <v>0</v>
      </c>
      <c r="K172" s="382">
        <f t="shared" si="17"/>
        <v>0</v>
      </c>
      <c r="L172" s="646">
        <f>IFERROR(IF(B172="funkcna poziadavka",VLOOKUP(G172,MODULY_CBA!$B$3:$E$23,4,0)*H172/SUMIFS($H$3:$H$199,$G$3:$G$199,G172,$B$3:$B$199,B172),),)</f>
        <v>0</v>
      </c>
      <c r="M172" s="382">
        <f>IFERROR(IF(B172="Funkcna poziadavka",VLOOKUP(G172,MODULY_CBA!$B$3:$E$23,3,0),),)</f>
        <v>0</v>
      </c>
      <c r="N172" s="382">
        <f>IFERROR(IF(B172="funkcna poziadavka",VLOOKUP(G172,MODULY_CBA!$B$3:$E$23,2,0),),)</f>
        <v>0</v>
      </c>
      <c r="O172" s="381">
        <f t="shared" si="18"/>
        <v>0</v>
      </c>
      <c r="P172" s="380">
        <f>IFERROR(O172*VLOOKUP(G172,MODULY_CBA!$B$3:$F$23,5,0),)</f>
        <v>0</v>
      </c>
      <c r="Q172" s="482" t="str">
        <f>IFERROR(VLOOKUP(G172,MODULY_CBA!$B$3:$I$23,6,0),"")</f>
        <v/>
      </c>
      <c r="R172" s="385"/>
      <c r="S172" s="385"/>
      <c r="T172" s="385"/>
      <c r="U172" s="385"/>
      <c r="V172" s="385"/>
      <c r="W172" s="385"/>
      <c r="X172" s="385"/>
      <c r="Y172" s="385"/>
      <c r="Z172" s="385"/>
      <c r="AA172" s="385"/>
      <c r="AB172" s="385"/>
      <c r="AC172" s="385"/>
      <c r="AD172" s="385"/>
      <c r="AE172" s="385"/>
      <c r="AF172" s="377"/>
    </row>
    <row r="173" spans="1:32">
      <c r="A173" s="404"/>
      <c r="B173" s="404"/>
      <c r="C173" s="535"/>
      <c r="D173" s="535"/>
      <c r="E173" s="535"/>
      <c r="F173" s="386"/>
      <c r="G173" s="386"/>
      <c r="H173" s="652"/>
      <c r="I173" s="652"/>
      <c r="J173" s="382">
        <f t="shared" si="16"/>
        <v>0</v>
      </c>
      <c r="K173" s="382">
        <f t="shared" si="17"/>
        <v>0</v>
      </c>
      <c r="L173" s="646">
        <f>IFERROR(IF(B173="funkcna poziadavka",VLOOKUP(G173,MODULY_CBA!$B$3:$E$23,4,0)*H173/SUMIFS($H$3:$H$199,$G$3:$G$199,G173,$B$3:$B$199,B173),),)</f>
        <v>0</v>
      </c>
      <c r="M173" s="382">
        <f>IFERROR(IF(B173="Funkcna poziadavka",VLOOKUP(G173,MODULY_CBA!$B$3:$E$23,3,0),),)</f>
        <v>0</v>
      </c>
      <c r="N173" s="382">
        <f>IFERROR(IF(B173="funkcna poziadavka",VLOOKUP(G173,MODULY_CBA!$B$3:$E$23,2,0),),)</f>
        <v>0</v>
      </c>
      <c r="O173" s="381">
        <f t="shared" si="18"/>
        <v>0</v>
      </c>
      <c r="P173" s="380">
        <f>IFERROR(O173*VLOOKUP(G173,MODULY_CBA!$B$3:$F$23,5,0),)</f>
        <v>0</v>
      </c>
      <c r="Q173" s="482" t="str">
        <f>IFERROR(VLOOKUP(G173,MODULY_CBA!$B$3:$I$23,6,0),"")</f>
        <v/>
      </c>
      <c r="R173" s="385"/>
      <c r="S173" s="385"/>
      <c r="T173" s="385"/>
      <c r="U173" s="385"/>
      <c r="V173" s="385"/>
      <c r="W173" s="385"/>
      <c r="X173" s="385"/>
      <c r="Y173" s="385"/>
      <c r="Z173" s="385"/>
      <c r="AA173" s="385"/>
      <c r="AB173" s="385"/>
      <c r="AC173" s="385"/>
      <c r="AD173" s="385"/>
      <c r="AE173" s="385"/>
      <c r="AF173" s="377"/>
    </row>
    <row r="174" spans="1:32">
      <c r="A174" s="404"/>
      <c r="B174" s="404"/>
      <c r="C174" s="535"/>
      <c r="D174" s="535"/>
      <c r="E174" s="535"/>
      <c r="F174" s="386"/>
      <c r="G174" s="386"/>
      <c r="H174" s="652"/>
      <c r="I174" s="652"/>
      <c r="J174" s="382">
        <f t="shared" si="16"/>
        <v>0</v>
      </c>
      <c r="K174" s="382">
        <f t="shared" si="17"/>
        <v>0</v>
      </c>
      <c r="L174" s="646">
        <f>IFERROR(IF(B174="funkcna poziadavka",VLOOKUP(G174,MODULY_CBA!$B$3:$E$23,4,0)*H174/SUMIFS($H$3:$H$199,$G$3:$G$199,G174,$B$3:$B$199,B174),),)</f>
        <v>0</v>
      </c>
      <c r="M174" s="382">
        <f>IFERROR(IF(B174="Funkcna poziadavka",VLOOKUP(G174,MODULY_CBA!$B$3:$E$23,3,0),),)</f>
        <v>0</v>
      </c>
      <c r="N174" s="382">
        <f>IFERROR(IF(B174="funkcna poziadavka",VLOOKUP(G174,MODULY_CBA!$B$3:$E$23,2,0),),)</f>
        <v>0</v>
      </c>
      <c r="O174" s="381">
        <f t="shared" si="18"/>
        <v>0</v>
      </c>
      <c r="P174" s="380">
        <f>IFERROR(O174*VLOOKUP(G174,MODULY_CBA!$B$3:$F$23,5,0),)</f>
        <v>0</v>
      </c>
      <c r="Q174" s="482" t="str">
        <f>IFERROR(VLOOKUP(G174,MODULY_CBA!$B$3:$I$23,6,0),"")</f>
        <v/>
      </c>
      <c r="R174" s="385"/>
      <c r="S174" s="385"/>
      <c r="T174" s="385"/>
      <c r="U174" s="385"/>
      <c r="V174" s="385"/>
      <c r="W174" s="385"/>
      <c r="X174" s="385"/>
      <c r="Y174" s="385"/>
      <c r="Z174" s="385"/>
      <c r="AA174" s="385"/>
      <c r="AB174" s="385"/>
      <c r="AC174" s="385"/>
      <c r="AD174" s="385"/>
      <c r="AE174" s="385"/>
      <c r="AF174" s="377"/>
    </row>
    <row r="175" spans="1:32">
      <c r="A175" s="404"/>
      <c r="B175" s="404"/>
      <c r="C175" s="535"/>
      <c r="D175" s="535"/>
      <c r="E175" s="535"/>
      <c r="F175" s="386"/>
      <c r="G175" s="386"/>
      <c r="H175" s="652"/>
      <c r="I175" s="652"/>
      <c r="J175" s="382">
        <f t="shared" si="16"/>
        <v>0</v>
      </c>
      <c r="K175" s="382">
        <f t="shared" si="17"/>
        <v>0</v>
      </c>
      <c r="L175" s="646">
        <f>IFERROR(IF(B175="funkcna poziadavka",VLOOKUP(G175,MODULY_CBA!$B$3:$E$23,4,0)*H175/SUMIFS($H$3:$H$199,$G$3:$G$199,G175,$B$3:$B$199,B175),),)</f>
        <v>0</v>
      </c>
      <c r="M175" s="382">
        <f>IFERROR(IF(B175="Funkcna poziadavka",VLOOKUP(G175,MODULY_CBA!$B$3:$E$23,3,0),),)</f>
        <v>0</v>
      </c>
      <c r="N175" s="382">
        <f>IFERROR(IF(B175="funkcna poziadavka",VLOOKUP(G175,MODULY_CBA!$B$3:$E$23,2,0),),)</f>
        <v>0</v>
      </c>
      <c r="O175" s="381">
        <f t="shared" si="18"/>
        <v>0</v>
      </c>
      <c r="P175" s="380">
        <f>IFERROR(O175*VLOOKUP(G175,MODULY_CBA!$B$3:$F$23,5,0),)</f>
        <v>0</v>
      </c>
      <c r="Q175" s="482" t="str">
        <f>IFERROR(VLOOKUP(G175,MODULY_CBA!$B$3:$I$23,6,0),"")</f>
        <v/>
      </c>
      <c r="R175" s="385"/>
      <c r="S175" s="385"/>
      <c r="T175" s="385"/>
      <c r="U175" s="385"/>
      <c r="V175" s="385"/>
      <c r="W175" s="385"/>
      <c r="X175" s="385"/>
      <c r="Y175" s="385"/>
      <c r="Z175" s="385"/>
      <c r="AA175" s="385"/>
      <c r="AB175" s="385"/>
      <c r="AC175" s="385"/>
      <c r="AD175" s="385"/>
      <c r="AE175" s="385"/>
      <c r="AF175" s="377"/>
    </row>
    <row r="176" spans="1:32">
      <c r="A176" s="404"/>
      <c r="B176" s="404"/>
      <c r="C176" s="535"/>
      <c r="D176" s="535"/>
      <c r="E176" s="535"/>
      <c r="F176" s="386"/>
      <c r="G176" s="386"/>
      <c r="H176" s="652"/>
      <c r="I176" s="652"/>
      <c r="J176" s="382">
        <f t="shared" si="16"/>
        <v>0</v>
      </c>
      <c r="K176" s="382">
        <f t="shared" si="17"/>
        <v>0</v>
      </c>
      <c r="L176" s="646">
        <f>IFERROR(IF(B176="funkcna poziadavka",VLOOKUP(G176,MODULY_CBA!$B$3:$E$23,4,0)*H176/SUMIFS($H$3:$H$199,$G$3:$G$199,G176,$B$3:$B$199,B176),),)</f>
        <v>0</v>
      </c>
      <c r="M176" s="382">
        <f>IFERROR(IF(B176="Funkcna poziadavka",VLOOKUP(G176,MODULY_CBA!$B$3:$E$23,3,0),),)</f>
        <v>0</v>
      </c>
      <c r="N176" s="382">
        <f>IFERROR(IF(B176="funkcna poziadavka",VLOOKUP(G176,MODULY_CBA!$B$3:$E$23,2,0),),)</f>
        <v>0</v>
      </c>
      <c r="O176" s="381">
        <f t="shared" si="18"/>
        <v>0</v>
      </c>
      <c r="P176" s="380">
        <f>IFERROR(O176*VLOOKUP(G176,MODULY_CBA!$B$3:$F$23,5,0),)</f>
        <v>0</v>
      </c>
      <c r="Q176" s="482" t="str">
        <f>IFERROR(VLOOKUP(G176,MODULY_CBA!$B$3:$I$23,6,0),"")</f>
        <v/>
      </c>
      <c r="R176" s="385"/>
      <c r="S176" s="385"/>
      <c r="T176" s="385"/>
      <c r="U176" s="385"/>
      <c r="V176" s="385"/>
      <c r="W176" s="385"/>
      <c r="X176" s="385"/>
      <c r="Y176" s="385"/>
      <c r="Z176" s="385"/>
      <c r="AA176" s="385"/>
      <c r="AB176" s="385"/>
      <c r="AC176" s="385"/>
      <c r="AD176" s="385"/>
      <c r="AE176" s="385"/>
      <c r="AF176" s="377"/>
    </row>
    <row r="177" spans="1:32">
      <c r="A177" s="404"/>
      <c r="B177" s="404"/>
      <c r="C177" s="535"/>
      <c r="D177" s="535"/>
      <c r="E177" s="535"/>
      <c r="F177" s="386"/>
      <c r="G177" s="386"/>
      <c r="H177" s="652"/>
      <c r="I177" s="652"/>
      <c r="J177" s="382">
        <f t="shared" si="16"/>
        <v>0</v>
      </c>
      <c r="K177" s="382">
        <f t="shared" si="17"/>
        <v>0</v>
      </c>
      <c r="L177" s="646">
        <f>IFERROR(IF(B177="funkcna poziadavka",VLOOKUP(G177,MODULY_CBA!$B$3:$E$23,4,0)*H177/SUMIFS($H$3:$H$199,$G$3:$G$199,G177,$B$3:$B$199,B177),),)</f>
        <v>0</v>
      </c>
      <c r="M177" s="382">
        <f>IFERROR(IF(B177="Funkcna poziadavka",VLOOKUP(G177,MODULY_CBA!$B$3:$E$23,3,0),),)</f>
        <v>0</v>
      </c>
      <c r="N177" s="382">
        <f>IFERROR(IF(B177="funkcna poziadavka",VLOOKUP(G177,MODULY_CBA!$B$3:$E$23,2,0),),)</f>
        <v>0</v>
      </c>
      <c r="O177" s="381">
        <f t="shared" si="18"/>
        <v>0</v>
      </c>
      <c r="P177" s="380">
        <f>IFERROR(O177*VLOOKUP(G177,MODULY_CBA!$B$3:$F$23,5,0),)</f>
        <v>0</v>
      </c>
      <c r="Q177" s="482" t="str">
        <f>IFERROR(VLOOKUP(G177,MODULY_CBA!$B$3:$I$23,6,0),"")</f>
        <v/>
      </c>
      <c r="R177" s="385"/>
      <c r="S177" s="385"/>
      <c r="T177" s="385"/>
      <c r="U177" s="385"/>
      <c r="V177" s="385"/>
      <c r="W177" s="385"/>
      <c r="X177" s="385"/>
      <c r="Y177" s="385"/>
      <c r="Z177" s="385"/>
      <c r="AA177" s="385"/>
      <c r="AB177" s="385"/>
      <c r="AC177" s="385"/>
      <c r="AD177" s="385"/>
      <c r="AE177" s="385"/>
      <c r="AF177" s="377"/>
    </row>
    <row r="178" spans="1:32">
      <c r="A178" s="404"/>
      <c r="B178" s="404"/>
      <c r="C178" s="535"/>
      <c r="D178" s="535"/>
      <c r="E178" s="535"/>
      <c r="F178" s="386"/>
      <c r="G178" s="386"/>
      <c r="H178" s="652"/>
      <c r="I178" s="652"/>
      <c r="J178" s="382">
        <f t="shared" si="16"/>
        <v>0</v>
      </c>
      <c r="K178" s="382">
        <f t="shared" si="17"/>
        <v>0</v>
      </c>
      <c r="L178" s="646">
        <f>IFERROR(IF(B178="funkcna poziadavka",VLOOKUP(G178,MODULY_CBA!$B$3:$E$23,4,0)*H178/SUMIFS($H$3:$H$199,$G$3:$G$199,G178,$B$3:$B$199,B178),),)</f>
        <v>0</v>
      </c>
      <c r="M178" s="382">
        <f>IFERROR(IF(B178="Funkcna poziadavka",VLOOKUP(G178,MODULY_CBA!$B$3:$E$23,3,0),),)</f>
        <v>0</v>
      </c>
      <c r="N178" s="382">
        <f>IFERROR(IF(B178="funkcna poziadavka",VLOOKUP(G178,MODULY_CBA!$B$3:$E$23,2,0),),)</f>
        <v>0</v>
      </c>
      <c r="O178" s="381">
        <f t="shared" si="18"/>
        <v>0</v>
      </c>
      <c r="P178" s="380">
        <f>IFERROR(O178*VLOOKUP(G178,MODULY_CBA!$B$3:$F$23,5,0),)</f>
        <v>0</v>
      </c>
      <c r="Q178" s="482" t="str">
        <f>IFERROR(VLOOKUP(G178,MODULY_CBA!$B$3:$I$23,6,0),"")</f>
        <v/>
      </c>
      <c r="R178" s="385"/>
      <c r="S178" s="385"/>
      <c r="T178" s="385"/>
      <c r="U178" s="385"/>
      <c r="V178" s="385"/>
      <c r="W178" s="385"/>
      <c r="X178" s="385"/>
      <c r="Y178" s="385"/>
      <c r="Z178" s="385"/>
      <c r="AA178" s="385"/>
      <c r="AB178" s="385"/>
      <c r="AC178" s="385"/>
      <c r="AD178" s="385"/>
      <c r="AE178" s="385"/>
      <c r="AF178" s="377"/>
    </row>
    <row r="179" spans="1:32">
      <c r="A179" s="404"/>
      <c r="B179" s="404"/>
      <c r="C179" s="535"/>
      <c r="D179" s="535"/>
      <c r="E179" s="535"/>
      <c r="F179" s="386"/>
      <c r="G179" s="386"/>
      <c r="H179" s="652"/>
      <c r="I179" s="652"/>
      <c r="J179" s="382">
        <f t="shared" si="16"/>
        <v>0</v>
      </c>
      <c r="K179" s="382">
        <f t="shared" si="17"/>
        <v>0</v>
      </c>
      <c r="L179" s="646">
        <f>IFERROR(IF(B179="funkcna poziadavka",VLOOKUP(G179,MODULY_CBA!$B$3:$E$23,4,0)*H179/SUMIFS($H$3:$H$199,$G$3:$G$199,G179,$B$3:$B$199,B179),),)</f>
        <v>0</v>
      </c>
      <c r="M179" s="382">
        <f>IFERROR(IF(B179="Funkcna poziadavka",VLOOKUP(G179,MODULY_CBA!$B$3:$E$23,3,0),),)</f>
        <v>0</v>
      </c>
      <c r="N179" s="382">
        <f>IFERROR(IF(B179="funkcna poziadavka",VLOOKUP(G179,MODULY_CBA!$B$3:$E$23,2,0),),)</f>
        <v>0</v>
      </c>
      <c r="O179" s="381">
        <f t="shared" si="18"/>
        <v>0</v>
      </c>
      <c r="P179" s="380">
        <f>IFERROR(O179*VLOOKUP(G179,MODULY_CBA!$B$3:$F$23,5,0),)</f>
        <v>0</v>
      </c>
      <c r="Q179" s="482" t="str">
        <f>IFERROR(VLOOKUP(G179,MODULY_CBA!$B$3:$I$23,6,0),"")</f>
        <v/>
      </c>
      <c r="R179" s="385"/>
      <c r="S179" s="385"/>
      <c r="T179" s="385"/>
      <c r="U179" s="385"/>
      <c r="V179" s="385"/>
      <c r="W179" s="385"/>
      <c r="X179" s="385"/>
      <c r="Y179" s="385"/>
      <c r="Z179" s="385"/>
      <c r="AA179" s="385"/>
      <c r="AB179" s="385"/>
      <c r="AC179" s="385"/>
      <c r="AD179" s="385"/>
      <c r="AE179" s="385"/>
      <c r="AF179" s="377"/>
    </row>
    <row r="180" spans="1:32">
      <c r="A180" s="404"/>
      <c r="B180" s="404"/>
      <c r="C180" s="535"/>
      <c r="D180" s="535"/>
      <c r="E180" s="535"/>
      <c r="F180" s="386"/>
      <c r="G180" s="386"/>
      <c r="H180" s="652"/>
      <c r="I180" s="652"/>
      <c r="J180" s="382">
        <f t="shared" si="16"/>
        <v>0</v>
      </c>
      <c r="K180" s="382">
        <f t="shared" si="17"/>
        <v>0</v>
      </c>
      <c r="L180" s="646">
        <f>IFERROR(IF(B180="funkcna poziadavka",VLOOKUP(G180,MODULY_CBA!$B$3:$E$23,4,0)*H180/SUMIFS($H$3:$H$199,$G$3:$G$199,G180,$B$3:$B$199,B180),),)</f>
        <v>0</v>
      </c>
      <c r="M180" s="382">
        <f>IFERROR(IF(B180="Funkcna poziadavka",VLOOKUP(G180,MODULY_CBA!$B$3:$E$23,3,0),),)</f>
        <v>0</v>
      </c>
      <c r="N180" s="382">
        <f>IFERROR(IF(B180="funkcna poziadavka",VLOOKUP(G180,MODULY_CBA!$B$3:$E$23,2,0),),)</f>
        <v>0</v>
      </c>
      <c r="O180" s="381">
        <f t="shared" si="18"/>
        <v>0</v>
      </c>
      <c r="P180" s="380">
        <f>IFERROR(O180*VLOOKUP(G180,MODULY_CBA!$B$3:$F$23,5,0),)</f>
        <v>0</v>
      </c>
      <c r="Q180" s="482" t="str">
        <f>IFERROR(VLOOKUP(G180,MODULY_CBA!$B$3:$I$23,6,0),"")</f>
        <v/>
      </c>
      <c r="R180" s="385"/>
      <c r="S180" s="385"/>
      <c r="T180" s="385"/>
      <c r="U180" s="385"/>
      <c r="V180" s="385"/>
      <c r="W180" s="385"/>
      <c r="X180" s="385"/>
      <c r="Y180" s="385"/>
      <c r="Z180" s="385"/>
      <c r="AA180" s="385"/>
      <c r="AB180" s="385"/>
      <c r="AC180" s="385"/>
      <c r="AD180" s="385"/>
      <c r="AE180" s="385"/>
      <c r="AF180" s="377"/>
    </row>
    <row r="181" spans="1:32">
      <c r="A181" s="404"/>
      <c r="B181" s="404"/>
      <c r="C181" s="535"/>
      <c r="D181" s="535"/>
      <c r="E181" s="535"/>
      <c r="F181" s="386"/>
      <c r="G181" s="386"/>
      <c r="H181" s="652"/>
      <c r="I181" s="652"/>
      <c r="J181" s="382">
        <f t="shared" si="16"/>
        <v>0</v>
      </c>
      <c r="K181" s="382">
        <f t="shared" si="17"/>
        <v>0</v>
      </c>
      <c r="L181" s="646">
        <f>IFERROR(IF(B181="funkcna poziadavka",VLOOKUP(G181,MODULY_CBA!$B$3:$E$23,4,0)*H181/SUMIFS($H$3:$H$199,$G$3:$G$199,G181,$B$3:$B$199,B181),),)</f>
        <v>0</v>
      </c>
      <c r="M181" s="382">
        <f>IFERROR(IF(B181="Funkcna poziadavka",VLOOKUP(G181,MODULY_CBA!$B$3:$E$23,3,0),),)</f>
        <v>0</v>
      </c>
      <c r="N181" s="382">
        <f>IFERROR(IF(B181="funkcna poziadavka",VLOOKUP(G181,MODULY_CBA!$B$3:$E$23,2,0),),)</f>
        <v>0</v>
      </c>
      <c r="O181" s="381">
        <f t="shared" si="18"/>
        <v>0</v>
      </c>
      <c r="P181" s="380">
        <f>IFERROR(O181*VLOOKUP(G181,MODULY_CBA!$B$3:$F$23,5,0),)</f>
        <v>0</v>
      </c>
      <c r="Q181" s="482" t="str">
        <f>IFERROR(VLOOKUP(G181,MODULY_CBA!$B$3:$I$23,6,0),"")</f>
        <v/>
      </c>
      <c r="R181" s="385"/>
      <c r="S181" s="385"/>
      <c r="T181" s="385"/>
      <c r="U181" s="385"/>
      <c r="V181" s="385"/>
      <c r="W181" s="385"/>
      <c r="X181" s="385"/>
      <c r="Y181" s="385"/>
      <c r="Z181" s="385"/>
      <c r="AA181" s="385"/>
      <c r="AB181" s="385"/>
      <c r="AC181" s="385"/>
      <c r="AD181" s="385"/>
      <c r="AE181" s="385"/>
      <c r="AF181" s="377"/>
    </row>
    <row r="182" spans="1:32">
      <c r="A182" s="404"/>
      <c r="B182" s="404"/>
      <c r="C182" s="535"/>
      <c r="D182" s="535"/>
      <c r="E182" s="535"/>
      <c r="F182" s="386"/>
      <c r="G182" s="386"/>
      <c r="H182" s="652"/>
      <c r="I182" s="652"/>
      <c r="J182" s="382">
        <f t="shared" si="16"/>
        <v>0</v>
      </c>
      <c r="K182" s="382">
        <f t="shared" si="17"/>
        <v>0</v>
      </c>
      <c r="L182" s="646">
        <f>IFERROR(IF(B182="funkcna poziadavka",VLOOKUP(G182,MODULY_CBA!$B$3:$E$23,4,0)*H182/SUMIFS($H$3:$H$199,$G$3:$G$199,G182,$B$3:$B$199,B182),),)</f>
        <v>0</v>
      </c>
      <c r="M182" s="382">
        <f>IFERROR(IF(B182="Funkcna poziadavka",VLOOKUP(G182,MODULY_CBA!$B$3:$E$23,3,0),),)</f>
        <v>0</v>
      </c>
      <c r="N182" s="382">
        <f>IFERROR(IF(B182="funkcna poziadavka",VLOOKUP(G182,MODULY_CBA!$B$3:$E$23,2,0),),)</f>
        <v>0</v>
      </c>
      <c r="O182" s="381">
        <f t="shared" si="18"/>
        <v>0</v>
      </c>
      <c r="P182" s="380">
        <f>IFERROR(O182*VLOOKUP(G182,MODULY_CBA!$B$3:$F$23,5,0),)</f>
        <v>0</v>
      </c>
      <c r="Q182" s="482" t="str">
        <f>IFERROR(VLOOKUP(G182,MODULY_CBA!$B$3:$I$23,6,0),"")</f>
        <v/>
      </c>
      <c r="R182" s="385"/>
      <c r="S182" s="385"/>
      <c r="T182" s="385"/>
      <c r="U182" s="385"/>
      <c r="V182" s="385"/>
      <c r="W182" s="385"/>
      <c r="X182" s="385"/>
      <c r="Y182" s="385"/>
      <c r="Z182" s="385"/>
      <c r="AA182" s="385"/>
      <c r="AB182" s="385"/>
      <c r="AC182" s="385"/>
      <c r="AD182" s="385"/>
      <c r="AE182" s="385"/>
      <c r="AF182" s="377"/>
    </row>
    <row r="183" spans="1:32">
      <c r="A183" s="404"/>
      <c r="B183" s="404"/>
      <c r="C183" s="535"/>
      <c r="D183" s="535"/>
      <c r="E183" s="535"/>
      <c r="F183" s="386"/>
      <c r="G183" s="386"/>
      <c r="H183" s="652"/>
      <c r="I183" s="652"/>
      <c r="J183" s="382">
        <f t="shared" si="16"/>
        <v>0</v>
      </c>
      <c r="K183" s="382">
        <f t="shared" si="17"/>
        <v>0</v>
      </c>
      <c r="L183" s="646">
        <f>IFERROR(IF(B183="funkcna poziadavka",VLOOKUP(G183,MODULY_CBA!$B$3:$E$23,4,0)*H183/SUMIFS($H$3:$H$199,$G$3:$G$199,G183,$B$3:$B$199,B183),),)</f>
        <v>0</v>
      </c>
      <c r="M183" s="382">
        <f>IFERROR(IF(B183="Funkcna poziadavka",VLOOKUP(G183,MODULY_CBA!$B$3:$E$23,3,0),),)</f>
        <v>0</v>
      </c>
      <c r="N183" s="382">
        <f>IFERROR(IF(B183="funkcna poziadavka",VLOOKUP(G183,MODULY_CBA!$B$3:$E$23,2,0),),)</f>
        <v>0</v>
      </c>
      <c r="O183" s="381">
        <f t="shared" si="18"/>
        <v>0</v>
      </c>
      <c r="P183" s="380">
        <f>IFERROR(O183*VLOOKUP(G183,MODULY_CBA!$B$3:$F$23,5,0),)</f>
        <v>0</v>
      </c>
      <c r="Q183" s="482" t="str">
        <f>IFERROR(VLOOKUP(G183,MODULY_CBA!$B$3:$I$23,6,0),"")</f>
        <v/>
      </c>
      <c r="R183" s="385"/>
      <c r="S183" s="385"/>
      <c r="T183" s="385"/>
      <c r="U183" s="385"/>
      <c r="V183" s="385"/>
      <c r="W183" s="385"/>
      <c r="X183" s="385"/>
      <c r="Y183" s="385"/>
      <c r="Z183" s="385"/>
      <c r="AA183" s="385"/>
      <c r="AB183" s="385"/>
      <c r="AC183" s="385"/>
      <c r="AD183" s="385"/>
      <c r="AE183" s="385"/>
      <c r="AF183" s="377"/>
    </row>
    <row r="184" spans="1:32">
      <c r="A184" s="404"/>
      <c r="B184" s="404"/>
      <c r="C184" s="535"/>
      <c r="D184" s="535"/>
      <c r="E184" s="535"/>
      <c r="F184" s="386"/>
      <c r="G184" s="386"/>
      <c r="H184" s="652"/>
      <c r="I184" s="652"/>
      <c r="J184" s="382">
        <f t="shared" si="16"/>
        <v>0</v>
      </c>
      <c r="K184" s="382">
        <f t="shared" si="17"/>
        <v>0</v>
      </c>
      <c r="L184" s="646">
        <f>IFERROR(IF(B184="funkcna poziadavka",VLOOKUP(G184,MODULY_CBA!$B$3:$E$23,4,0)*H184/SUMIFS($H$3:$H$199,$G$3:$G$199,G184,$B$3:$B$199,B184),),)</f>
        <v>0</v>
      </c>
      <c r="M184" s="382">
        <f>IFERROR(IF(B184="Funkcna poziadavka",VLOOKUP(G184,MODULY_CBA!$B$3:$E$23,3,0),),)</f>
        <v>0</v>
      </c>
      <c r="N184" s="382">
        <f>IFERROR(IF(B184="funkcna poziadavka",VLOOKUP(G184,MODULY_CBA!$B$3:$E$23,2,0),),)</f>
        <v>0</v>
      </c>
      <c r="O184" s="381">
        <f t="shared" si="18"/>
        <v>0</v>
      </c>
      <c r="P184" s="380">
        <f>IFERROR(O184*VLOOKUP(G184,MODULY_CBA!$B$3:$F$23,5,0),)</f>
        <v>0</v>
      </c>
      <c r="Q184" s="482" t="str">
        <f>IFERROR(VLOOKUP(G184,MODULY_CBA!$B$3:$I$23,6,0),"")</f>
        <v/>
      </c>
      <c r="R184" s="385"/>
      <c r="S184" s="385"/>
      <c r="T184" s="385"/>
      <c r="U184" s="385"/>
      <c r="V184" s="385"/>
      <c r="W184" s="385"/>
      <c r="X184" s="385"/>
      <c r="Y184" s="385"/>
      <c r="Z184" s="385"/>
      <c r="AA184" s="385"/>
      <c r="AB184" s="385"/>
      <c r="AC184" s="385"/>
      <c r="AD184" s="385"/>
      <c r="AE184" s="385"/>
      <c r="AF184" s="377"/>
    </row>
    <row r="185" spans="1:32">
      <c r="A185" s="404"/>
      <c r="B185" s="404"/>
      <c r="C185" s="535"/>
      <c r="D185" s="535"/>
      <c r="E185" s="535"/>
      <c r="F185" s="386"/>
      <c r="G185" s="386"/>
      <c r="H185" s="652"/>
      <c r="I185" s="652"/>
      <c r="J185" s="382">
        <f t="shared" si="16"/>
        <v>0</v>
      </c>
      <c r="K185" s="382">
        <f t="shared" si="17"/>
        <v>0</v>
      </c>
      <c r="L185" s="646">
        <f>IFERROR(IF(B185="funkcna poziadavka",VLOOKUP(G185,MODULY_CBA!$B$3:$E$23,4,0)*H185/SUMIFS($H$3:$H$199,$G$3:$G$199,G185,$B$3:$B$199,B185),),)</f>
        <v>0</v>
      </c>
      <c r="M185" s="382">
        <f>IFERROR(IF(B185="Funkcna poziadavka",VLOOKUP(G185,MODULY_CBA!$B$3:$E$23,3,0),),)</f>
        <v>0</v>
      </c>
      <c r="N185" s="382">
        <f>IFERROR(IF(B185="funkcna poziadavka",VLOOKUP(G185,MODULY_CBA!$B$3:$E$23,2,0),),)</f>
        <v>0</v>
      </c>
      <c r="O185" s="381">
        <f t="shared" si="18"/>
        <v>0</v>
      </c>
      <c r="P185" s="380">
        <f>IFERROR(O185*VLOOKUP(G185,MODULY_CBA!$B$3:$F$23,5,0),)</f>
        <v>0</v>
      </c>
      <c r="Q185" s="482" t="str">
        <f>IFERROR(VLOOKUP(G185,MODULY_CBA!$B$3:$I$23,6,0),"")</f>
        <v/>
      </c>
      <c r="R185" s="385"/>
      <c r="S185" s="385"/>
      <c r="T185" s="385"/>
      <c r="U185" s="385"/>
      <c r="V185" s="385"/>
      <c r="W185" s="385"/>
      <c r="X185" s="385"/>
      <c r="Y185" s="385"/>
      <c r="Z185" s="385"/>
      <c r="AA185" s="385"/>
      <c r="AB185" s="385"/>
      <c r="AC185" s="385"/>
      <c r="AD185" s="385"/>
      <c r="AE185" s="385"/>
      <c r="AF185" s="377"/>
    </row>
    <row r="186" spans="1:32">
      <c r="A186" s="404"/>
      <c r="B186" s="404"/>
      <c r="C186" s="535"/>
      <c r="D186" s="535"/>
      <c r="E186" s="535"/>
      <c r="F186" s="386"/>
      <c r="G186" s="386"/>
      <c r="H186" s="652"/>
      <c r="I186" s="652"/>
      <c r="J186" s="382">
        <f t="shared" si="16"/>
        <v>0</v>
      </c>
      <c r="K186" s="382">
        <f t="shared" si="17"/>
        <v>0</v>
      </c>
      <c r="L186" s="646">
        <f>IFERROR(IF(B186="funkcna poziadavka",VLOOKUP(G186,MODULY_CBA!$B$3:$E$23,4,0)*H186/SUMIFS($H$3:$H$199,$G$3:$G$199,G186,$B$3:$B$199,B186),),)</f>
        <v>0</v>
      </c>
      <c r="M186" s="382">
        <f>IFERROR(IF(B186="Funkcna poziadavka",VLOOKUP(G186,MODULY_CBA!$B$3:$E$23,3,0),),)</f>
        <v>0</v>
      </c>
      <c r="N186" s="382">
        <f>IFERROR(IF(B186="funkcna poziadavka",VLOOKUP(G186,MODULY_CBA!$B$3:$E$23,2,0),),)</f>
        <v>0</v>
      </c>
      <c r="O186" s="381">
        <f t="shared" si="18"/>
        <v>0</v>
      </c>
      <c r="P186" s="380">
        <f>IFERROR(O186*VLOOKUP(G186,MODULY_CBA!$B$3:$F$23,5,0),)</f>
        <v>0</v>
      </c>
      <c r="Q186" s="482" t="str">
        <f>IFERROR(VLOOKUP(G186,MODULY_CBA!$B$3:$I$23,6,0),"")</f>
        <v/>
      </c>
      <c r="R186" s="385"/>
      <c r="S186" s="385"/>
      <c r="T186" s="385"/>
      <c r="U186" s="385"/>
      <c r="V186" s="385"/>
      <c r="W186" s="385"/>
      <c r="X186" s="385"/>
      <c r="Y186" s="385"/>
      <c r="Z186" s="385"/>
      <c r="AA186" s="385"/>
      <c r="AB186" s="385"/>
      <c r="AC186" s="385"/>
      <c r="AD186" s="385"/>
      <c r="AE186" s="385"/>
      <c r="AF186" s="377"/>
    </row>
    <row r="187" spans="1:32">
      <c r="A187" s="404"/>
      <c r="B187" s="404"/>
      <c r="C187" s="535"/>
      <c r="D187" s="535"/>
      <c r="E187" s="535"/>
      <c r="F187" s="386"/>
      <c r="G187" s="386"/>
      <c r="H187" s="652"/>
      <c r="I187" s="652"/>
      <c r="J187" s="382">
        <f t="shared" si="16"/>
        <v>0</v>
      </c>
      <c r="K187" s="382">
        <f t="shared" si="17"/>
        <v>0</v>
      </c>
      <c r="L187" s="646">
        <f>IFERROR(IF(B187="funkcna poziadavka",VLOOKUP(G187,MODULY_CBA!$B$3:$E$23,4,0)*H187/SUMIFS($H$3:$H$199,$G$3:$G$199,G187,$B$3:$B$199,B187),),)</f>
        <v>0</v>
      </c>
      <c r="M187" s="382">
        <f>IFERROR(IF(B187="Funkcna poziadavka",VLOOKUP(G187,MODULY_CBA!$B$3:$E$23,3,0),),)</f>
        <v>0</v>
      </c>
      <c r="N187" s="382">
        <f>IFERROR(IF(B187="funkcna poziadavka",VLOOKUP(G187,MODULY_CBA!$B$3:$E$23,2,0),),)</f>
        <v>0</v>
      </c>
      <c r="O187" s="381">
        <f t="shared" si="18"/>
        <v>0</v>
      </c>
      <c r="P187" s="380">
        <f>IFERROR(O187*VLOOKUP(G187,MODULY_CBA!$B$3:$F$23,5,0),)</f>
        <v>0</v>
      </c>
      <c r="Q187" s="482" t="str">
        <f>IFERROR(VLOOKUP(G187,MODULY_CBA!$B$3:$I$23,6,0),"")</f>
        <v/>
      </c>
      <c r="R187" s="385"/>
      <c r="S187" s="385"/>
      <c r="T187" s="385"/>
      <c r="U187" s="385"/>
      <c r="V187" s="385"/>
      <c r="W187" s="385"/>
      <c r="X187" s="385"/>
      <c r="Y187" s="385"/>
      <c r="Z187" s="385"/>
      <c r="AA187" s="385"/>
      <c r="AB187" s="385"/>
      <c r="AC187" s="385"/>
      <c r="AD187" s="385"/>
      <c r="AE187" s="385"/>
      <c r="AF187" s="377"/>
    </row>
    <row r="188" spans="1:32">
      <c r="A188" s="404"/>
      <c r="B188" s="404"/>
      <c r="C188" s="535"/>
      <c r="D188" s="535"/>
      <c r="E188" s="535"/>
      <c r="F188" s="386"/>
      <c r="G188" s="386"/>
      <c r="H188" s="652"/>
      <c r="I188" s="652"/>
      <c r="J188" s="382">
        <f t="shared" si="16"/>
        <v>0</v>
      </c>
      <c r="K188" s="382">
        <f t="shared" si="17"/>
        <v>0</v>
      </c>
      <c r="L188" s="646">
        <f>IFERROR(IF(B188="funkcna poziadavka",VLOOKUP(G188,MODULY_CBA!$B$3:$E$23,4,0)*H188/SUMIFS($H$3:$H$199,$G$3:$G$199,G188,$B$3:$B$199,B188),),)</f>
        <v>0</v>
      </c>
      <c r="M188" s="382">
        <f>IFERROR(IF(B188="Funkcna poziadavka",VLOOKUP(G188,MODULY_CBA!$B$3:$E$23,3,0),),)</f>
        <v>0</v>
      </c>
      <c r="N188" s="382">
        <f>IFERROR(IF(B188="funkcna poziadavka",VLOOKUP(G188,MODULY_CBA!$B$3:$E$23,2,0),),)</f>
        <v>0</v>
      </c>
      <c r="O188" s="381">
        <f t="shared" si="18"/>
        <v>0</v>
      </c>
      <c r="P188" s="380">
        <f>IFERROR(O188*VLOOKUP(G188,MODULY_CBA!$B$3:$F$23,5,0),)</f>
        <v>0</v>
      </c>
      <c r="Q188" s="482" t="str">
        <f>IFERROR(VLOOKUP(G188,MODULY_CBA!$B$3:$I$23,6,0),"")</f>
        <v/>
      </c>
      <c r="R188" s="385"/>
      <c r="S188" s="385"/>
      <c r="T188" s="385"/>
      <c r="U188" s="385"/>
      <c r="V188" s="385"/>
      <c r="W188" s="385"/>
      <c r="X188" s="385"/>
      <c r="Y188" s="385"/>
      <c r="Z188" s="385"/>
      <c r="AA188" s="385"/>
      <c r="AB188" s="385"/>
      <c r="AC188" s="385"/>
      <c r="AD188" s="385"/>
      <c r="AE188" s="385"/>
      <c r="AF188" s="377"/>
    </row>
    <row r="189" spans="1:32">
      <c r="A189" s="404"/>
      <c r="B189" s="404"/>
      <c r="C189" s="535"/>
      <c r="D189" s="535"/>
      <c r="E189" s="535"/>
      <c r="F189" s="386"/>
      <c r="G189" s="386"/>
      <c r="H189" s="652"/>
      <c r="I189" s="652"/>
      <c r="J189" s="382">
        <f t="shared" si="16"/>
        <v>0</v>
      </c>
      <c r="K189" s="382">
        <f t="shared" si="17"/>
        <v>0</v>
      </c>
      <c r="L189" s="646">
        <f>IFERROR(IF(B189="funkcna poziadavka",VLOOKUP(G189,MODULY_CBA!$B$3:$E$23,4,0)*H189/SUMIFS($H$3:$H$199,$G$3:$G$199,G189,$B$3:$B$199,B189),),)</f>
        <v>0</v>
      </c>
      <c r="M189" s="382">
        <f>IFERROR(IF(B189="Funkcna poziadavka",VLOOKUP(G189,MODULY_CBA!$B$3:$E$23,3,0),),)</f>
        <v>0</v>
      </c>
      <c r="N189" s="382">
        <f>IFERROR(IF(B189="funkcna poziadavka",VLOOKUP(G189,MODULY_CBA!$B$3:$E$23,2,0),),)</f>
        <v>0</v>
      </c>
      <c r="O189" s="381">
        <f t="shared" si="18"/>
        <v>0</v>
      </c>
      <c r="P189" s="380">
        <f>IFERROR(O189*VLOOKUP(G189,MODULY_CBA!$B$3:$F$23,5,0),)</f>
        <v>0</v>
      </c>
      <c r="Q189" s="482" t="str">
        <f>IFERROR(VLOOKUP(G189,MODULY_CBA!$B$3:$I$23,6,0),"")</f>
        <v/>
      </c>
      <c r="R189" s="385"/>
      <c r="S189" s="385"/>
      <c r="T189" s="385"/>
      <c r="U189" s="385"/>
      <c r="V189" s="385"/>
      <c r="W189" s="385"/>
      <c r="X189" s="385"/>
      <c r="Y189" s="385"/>
      <c r="Z189" s="385"/>
      <c r="AA189" s="385"/>
      <c r="AB189" s="385"/>
      <c r="AC189" s="385"/>
      <c r="AD189" s="385"/>
      <c r="AE189" s="385"/>
      <c r="AF189" s="377"/>
    </row>
    <row r="190" spans="1:32">
      <c r="A190" s="404"/>
      <c r="B190" s="404"/>
      <c r="C190" s="535"/>
      <c r="D190" s="535"/>
      <c r="E190" s="535"/>
      <c r="F190" s="386"/>
      <c r="G190" s="386"/>
      <c r="H190" s="652"/>
      <c r="I190" s="652"/>
      <c r="J190" s="382">
        <f t="shared" si="16"/>
        <v>0</v>
      </c>
      <c r="K190" s="382">
        <f t="shared" si="17"/>
        <v>0</v>
      </c>
      <c r="L190" s="646">
        <f>IFERROR(IF(B190="funkcna poziadavka",VLOOKUP(G190,MODULY_CBA!$B$3:$E$23,4,0)*H190/SUMIFS($H$3:$H$199,$G$3:$G$199,G190,$B$3:$B$199,B190),),)</f>
        <v>0</v>
      </c>
      <c r="M190" s="382">
        <f>IFERROR(IF(B190="Funkcna poziadavka",VLOOKUP(G190,MODULY_CBA!$B$3:$E$23,3,0),),)</f>
        <v>0</v>
      </c>
      <c r="N190" s="382">
        <f>IFERROR(IF(B190="funkcna poziadavka",VLOOKUP(G190,MODULY_CBA!$B$3:$E$23,2,0),),)</f>
        <v>0</v>
      </c>
      <c r="O190" s="381">
        <f t="shared" si="18"/>
        <v>0</v>
      </c>
      <c r="P190" s="380">
        <f>IFERROR(O190*VLOOKUP(G190,MODULY_CBA!$B$3:$F$23,5,0),)</f>
        <v>0</v>
      </c>
      <c r="Q190" s="482" t="str">
        <f>IFERROR(VLOOKUP(G190,MODULY_CBA!$B$3:$I$23,6,0),"")</f>
        <v/>
      </c>
      <c r="R190" s="385"/>
      <c r="S190" s="385"/>
      <c r="T190" s="385"/>
      <c r="U190" s="385"/>
      <c r="V190" s="385"/>
      <c r="W190" s="385"/>
      <c r="X190" s="385"/>
      <c r="Y190" s="385"/>
      <c r="Z190" s="385"/>
      <c r="AA190" s="385"/>
      <c r="AB190" s="385"/>
      <c r="AC190" s="385"/>
      <c r="AD190" s="385"/>
      <c r="AE190" s="385"/>
      <c r="AF190" s="377"/>
    </row>
    <row r="191" spans="1:32">
      <c r="A191" s="404"/>
      <c r="B191" s="404"/>
      <c r="C191" s="535"/>
      <c r="D191" s="535"/>
      <c r="E191" s="535"/>
      <c r="F191" s="386"/>
      <c r="G191" s="386"/>
      <c r="H191" s="652"/>
      <c r="I191" s="652"/>
      <c r="J191" s="382">
        <f t="shared" si="16"/>
        <v>0</v>
      </c>
      <c r="K191" s="382">
        <f t="shared" si="17"/>
        <v>0</v>
      </c>
      <c r="L191" s="646">
        <f>IFERROR(IF(B191="funkcna poziadavka",VLOOKUP(G191,MODULY_CBA!$B$3:$E$23,4,0)*H191/SUMIFS($H$3:$H$199,$G$3:$G$199,G191,$B$3:$B$199,B191),),)</f>
        <v>0</v>
      </c>
      <c r="M191" s="382">
        <f>IFERROR(IF(B191="Funkcna poziadavka",VLOOKUP(G191,MODULY_CBA!$B$3:$E$23,3,0),),)</f>
        <v>0</v>
      </c>
      <c r="N191" s="382">
        <f>IFERROR(IF(B191="funkcna poziadavka",VLOOKUP(G191,MODULY_CBA!$B$3:$E$23,2,0),),)</f>
        <v>0</v>
      </c>
      <c r="O191" s="381">
        <f t="shared" si="18"/>
        <v>0</v>
      </c>
      <c r="P191" s="380">
        <f>IFERROR(O191*VLOOKUP(G191,MODULY_CBA!$B$3:$F$23,5,0),)</f>
        <v>0</v>
      </c>
      <c r="Q191" s="482" t="str">
        <f>IFERROR(VLOOKUP(G191,MODULY_CBA!$B$3:$I$23,6,0),"")</f>
        <v/>
      </c>
      <c r="R191" s="385"/>
      <c r="S191" s="385"/>
      <c r="T191" s="385"/>
      <c r="U191" s="385"/>
      <c r="V191" s="385"/>
      <c r="W191" s="385"/>
      <c r="X191" s="385"/>
      <c r="Y191" s="385"/>
      <c r="Z191" s="385"/>
      <c r="AA191" s="385"/>
      <c r="AB191" s="385"/>
      <c r="AC191" s="385"/>
      <c r="AD191" s="385"/>
      <c r="AE191" s="385"/>
      <c r="AF191" s="377"/>
    </row>
    <row r="192" spans="1:32">
      <c r="A192" s="404"/>
      <c r="B192" s="404"/>
      <c r="C192" s="535"/>
      <c r="D192" s="535"/>
      <c r="E192" s="535"/>
      <c r="F192" s="386"/>
      <c r="G192" s="386"/>
      <c r="H192" s="652"/>
      <c r="I192" s="652"/>
      <c r="J192" s="382">
        <f t="shared" si="16"/>
        <v>0</v>
      </c>
      <c r="K192" s="382">
        <f t="shared" si="17"/>
        <v>0</v>
      </c>
      <c r="L192" s="646">
        <f>IFERROR(IF(B192="funkcna poziadavka",VLOOKUP(G192,MODULY_CBA!$B$3:$E$23,4,0)*H192/SUMIFS($H$3:$H$199,$G$3:$G$199,G192,$B$3:$B$199,B192),),)</f>
        <v>0</v>
      </c>
      <c r="M192" s="382">
        <f>IFERROR(IF(B192="Funkcna poziadavka",VLOOKUP(G192,MODULY_CBA!$B$3:$E$23,3,0),),)</f>
        <v>0</v>
      </c>
      <c r="N192" s="382">
        <f>IFERROR(IF(B192="funkcna poziadavka",VLOOKUP(G192,MODULY_CBA!$B$3:$E$23,2,0),),)</f>
        <v>0</v>
      </c>
      <c r="O192" s="381">
        <f t="shared" si="18"/>
        <v>0</v>
      </c>
      <c r="P192" s="380">
        <f>IFERROR(O192*VLOOKUP(G192,MODULY_CBA!$B$3:$F$23,5,0),)</f>
        <v>0</v>
      </c>
      <c r="Q192" s="482" t="str">
        <f>IFERROR(VLOOKUP(G192,MODULY_CBA!$B$3:$I$23,6,0),"")</f>
        <v/>
      </c>
      <c r="R192" s="385"/>
      <c r="S192" s="385"/>
      <c r="T192" s="385"/>
      <c r="U192" s="385"/>
      <c r="V192" s="385"/>
      <c r="W192" s="385"/>
      <c r="X192" s="385"/>
      <c r="Y192" s="385"/>
      <c r="Z192" s="385"/>
      <c r="AA192" s="385"/>
      <c r="AB192" s="385"/>
      <c r="AC192" s="385"/>
      <c r="AD192" s="385"/>
      <c r="AE192" s="385"/>
      <c r="AF192" s="377"/>
    </row>
    <row r="193" spans="1:32">
      <c r="A193" s="404"/>
      <c r="B193" s="404"/>
      <c r="C193" s="535"/>
      <c r="D193" s="535"/>
      <c r="E193" s="535"/>
      <c r="F193" s="386"/>
      <c r="G193" s="386"/>
      <c r="H193" s="652"/>
      <c r="I193" s="652"/>
      <c r="J193" s="382">
        <f t="shared" si="16"/>
        <v>0</v>
      </c>
      <c r="K193" s="382">
        <f t="shared" si="17"/>
        <v>0</v>
      </c>
      <c r="L193" s="646">
        <f>IFERROR(IF(B193="funkcna poziadavka",VLOOKUP(G193,MODULY_CBA!$B$3:$E$23,4,0)*H193/SUMIFS($H$3:$H$199,$G$3:$G$199,G193,$B$3:$B$199,B193),),)</f>
        <v>0</v>
      </c>
      <c r="M193" s="382">
        <f>IFERROR(IF(B193="Funkcna poziadavka",VLOOKUP(G193,MODULY_CBA!$B$3:$E$23,3,0),),)</f>
        <v>0</v>
      </c>
      <c r="N193" s="382">
        <f>IFERROR(IF(B193="funkcna poziadavka",VLOOKUP(G193,MODULY_CBA!$B$3:$E$23,2,0),),)</f>
        <v>0</v>
      </c>
      <c r="O193" s="381">
        <f t="shared" si="18"/>
        <v>0</v>
      </c>
      <c r="P193" s="380">
        <f>IFERROR(O193*VLOOKUP(G193,MODULY_CBA!$B$3:$F$23,5,0),)</f>
        <v>0</v>
      </c>
      <c r="Q193" s="482" t="str">
        <f>IFERROR(VLOOKUP(G193,MODULY_CBA!$B$3:$I$23,6,0),"")</f>
        <v/>
      </c>
      <c r="R193" s="385"/>
      <c r="S193" s="385"/>
      <c r="T193" s="385"/>
      <c r="U193" s="385"/>
      <c r="V193" s="385"/>
      <c r="W193" s="385"/>
      <c r="X193" s="385"/>
      <c r="Y193" s="385"/>
      <c r="Z193" s="385"/>
      <c r="AA193" s="385"/>
      <c r="AB193" s="385"/>
      <c r="AC193" s="385"/>
      <c r="AD193" s="385"/>
      <c r="AE193" s="385"/>
      <c r="AF193" s="377"/>
    </row>
    <row r="194" spans="1:32">
      <c r="A194" s="404"/>
      <c r="B194" s="404"/>
      <c r="C194" s="535"/>
      <c r="D194" s="535"/>
      <c r="E194" s="535"/>
      <c r="F194" s="386"/>
      <c r="G194" s="386"/>
      <c r="H194" s="652"/>
      <c r="I194" s="652"/>
      <c r="J194" s="382">
        <f t="shared" si="16"/>
        <v>0</v>
      </c>
      <c r="K194" s="382">
        <f t="shared" si="17"/>
        <v>0</v>
      </c>
      <c r="L194" s="646">
        <f>IFERROR(IF(B194="funkcna poziadavka",VLOOKUP(G194,MODULY_CBA!$B$3:$E$23,4,0)*H194/SUMIFS($H$3:$H$199,$G$3:$G$199,G194,$B$3:$B$199,B194),),)</f>
        <v>0</v>
      </c>
      <c r="M194" s="382">
        <f>IFERROR(IF(B194="Funkcna poziadavka",VLOOKUP(G194,MODULY_CBA!$B$3:$E$23,3,0),),)</f>
        <v>0</v>
      </c>
      <c r="N194" s="382">
        <f>IFERROR(IF(B194="funkcna poziadavka",VLOOKUP(G194,MODULY_CBA!$B$3:$E$23,2,0),),)</f>
        <v>0</v>
      </c>
      <c r="O194" s="381">
        <f t="shared" si="18"/>
        <v>0</v>
      </c>
      <c r="P194" s="380">
        <f>IFERROR(O194*VLOOKUP(G194,MODULY_CBA!$B$3:$F$23,5,0),)</f>
        <v>0</v>
      </c>
      <c r="Q194" s="482" t="str">
        <f>IFERROR(VLOOKUP(G194,MODULY_CBA!$B$3:$I$23,6,0),"")</f>
        <v/>
      </c>
      <c r="R194" s="385"/>
      <c r="S194" s="385"/>
      <c r="T194" s="385"/>
      <c r="U194" s="385"/>
      <c r="V194" s="385"/>
      <c r="W194" s="385"/>
      <c r="X194" s="385"/>
      <c r="Y194" s="385"/>
      <c r="Z194" s="385"/>
      <c r="AA194" s="385"/>
      <c r="AB194" s="385"/>
      <c r="AC194" s="385"/>
      <c r="AD194" s="385"/>
      <c r="AE194" s="385"/>
      <c r="AF194" s="377"/>
    </row>
    <row r="195" spans="1:32">
      <c r="A195" s="404"/>
      <c r="B195" s="404"/>
      <c r="C195" s="535"/>
      <c r="D195" s="535"/>
      <c r="E195" s="535"/>
      <c r="F195" s="386"/>
      <c r="G195" s="386"/>
      <c r="H195" s="652"/>
      <c r="I195" s="652"/>
      <c r="J195" s="382">
        <f t="shared" si="16"/>
        <v>0</v>
      </c>
      <c r="K195" s="382">
        <f t="shared" si="17"/>
        <v>0</v>
      </c>
      <c r="L195" s="646">
        <f>IFERROR(IF(B195="funkcna poziadavka",VLOOKUP(G195,MODULY_CBA!$B$3:$E$23,4,0)*H195/SUMIFS($H$3:$H$199,$G$3:$G$199,G195,$B$3:$B$199,B195),),)</f>
        <v>0</v>
      </c>
      <c r="M195" s="382">
        <f>IFERROR(IF(B195="Funkcna poziadavka",VLOOKUP(G195,MODULY_CBA!$B$3:$E$23,3,0),),)</f>
        <v>0</v>
      </c>
      <c r="N195" s="382">
        <f>IFERROR(IF(B195="funkcna poziadavka",VLOOKUP(G195,MODULY_CBA!$B$3:$E$23,2,0),),)</f>
        <v>0</v>
      </c>
      <c r="O195" s="381">
        <f t="shared" si="18"/>
        <v>0</v>
      </c>
      <c r="P195" s="380">
        <f>IFERROR(O195*VLOOKUP(G195,MODULY_CBA!$B$3:$F$23,5,0),)</f>
        <v>0</v>
      </c>
      <c r="Q195" s="482" t="str">
        <f>IFERROR(VLOOKUP(G195,MODULY_CBA!$B$3:$I$23,6,0),"")</f>
        <v/>
      </c>
      <c r="R195" s="385"/>
      <c r="S195" s="385"/>
      <c r="T195" s="385"/>
      <c r="U195" s="385"/>
      <c r="V195" s="385"/>
      <c r="W195" s="385"/>
      <c r="X195" s="385"/>
      <c r="Y195" s="385"/>
      <c r="Z195" s="385"/>
      <c r="AA195" s="385"/>
      <c r="AB195" s="385"/>
      <c r="AC195" s="385"/>
      <c r="AD195" s="385"/>
      <c r="AE195" s="385"/>
      <c r="AF195" s="377"/>
    </row>
    <row r="196" spans="1:32">
      <c r="A196" s="404"/>
      <c r="B196" s="404"/>
      <c r="C196" s="535"/>
      <c r="D196" s="535"/>
      <c r="E196" s="535"/>
      <c r="F196" s="386"/>
      <c r="G196" s="386"/>
      <c r="H196" s="652"/>
      <c r="I196" s="652"/>
      <c r="J196" s="382">
        <f t="shared" si="16"/>
        <v>0</v>
      </c>
      <c r="K196" s="382">
        <f t="shared" si="17"/>
        <v>0</v>
      </c>
      <c r="L196" s="646">
        <f>IFERROR(IF(B196="funkcna poziadavka",VLOOKUP(G196,MODULY_CBA!$B$3:$E$23,4,0)*H196/SUMIFS($H$3:$H$199,$G$3:$G$199,G196,$B$3:$B$199,B196),),)</f>
        <v>0</v>
      </c>
      <c r="M196" s="382">
        <f>IFERROR(IF(B196="Funkcna poziadavka",VLOOKUP(G196,MODULY_CBA!$B$3:$E$23,3,0),),)</f>
        <v>0</v>
      </c>
      <c r="N196" s="382">
        <f>IFERROR(IF(B196="funkcna poziadavka",VLOOKUP(G196,MODULY_CBA!$B$3:$E$23,2,0),),)</f>
        <v>0</v>
      </c>
      <c r="O196" s="381">
        <f t="shared" si="18"/>
        <v>0</v>
      </c>
      <c r="P196" s="380">
        <f>IFERROR(O196*VLOOKUP(G196,MODULY_CBA!$B$3:$F$23,5,0),)</f>
        <v>0</v>
      </c>
      <c r="Q196" s="482" t="str">
        <f>IFERROR(VLOOKUP(G196,MODULY_CBA!$B$3:$I$23,6,0),"")</f>
        <v/>
      </c>
      <c r="R196" s="385"/>
      <c r="S196" s="385"/>
      <c r="T196" s="385"/>
      <c r="U196" s="385"/>
      <c r="V196" s="385"/>
      <c r="W196" s="385"/>
      <c r="X196" s="385"/>
      <c r="Y196" s="385"/>
      <c r="Z196" s="385"/>
      <c r="AA196" s="385"/>
      <c r="AB196" s="385"/>
      <c r="AC196" s="385"/>
      <c r="AD196" s="385"/>
      <c r="AE196" s="385"/>
      <c r="AF196" s="377"/>
    </row>
    <row r="197" spans="1:32">
      <c r="A197" s="404"/>
      <c r="B197" s="404"/>
      <c r="C197" s="535"/>
      <c r="D197" s="535"/>
      <c r="E197" s="535"/>
      <c r="F197" s="386"/>
      <c r="G197" s="386"/>
      <c r="H197" s="652"/>
      <c r="I197" s="652"/>
      <c r="J197" s="382">
        <f t="shared" si="16"/>
        <v>0</v>
      </c>
      <c r="K197" s="382">
        <f t="shared" si="17"/>
        <v>0</v>
      </c>
      <c r="L197" s="646">
        <f>IFERROR(IF(B197="funkcna poziadavka",VLOOKUP(G197,MODULY_CBA!$B$3:$E$23,4,0)*H197/SUMIFS($H$3:$H$199,$G$3:$G$199,G197,$B$3:$B$199,B197),),)</f>
        <v>0</v>
      </c>
      <c r="M197" s="382">
        <f>IFERROR(IF(B197="Funkcna poziadavka",VLOOKUP(G197,MODULY_CBA!$B$3:$E$23,3,0),),)</f>
        <v>0</v>
      </c>
      <c r="N197" s="382">
        <f>IFERROR(IF(B197="funkcna poziadavka",VLOOKUP(G197,MODULY_CBA!$B$3:$E$23,2,0),),)</f>
        <v>0</v>
      </c>
      <c r="O197" s="381">
        <f t="shared" si="18"/>
        <v>0</v>
      </c>
      <c r="P197" s="380">
        <f>IFERROR(O197*VLOOKUP(G197,MODULY_CBA!$B$3:$F$23,5,0),)</f>
        <v>0</v>
      </c>
      <c r="Q197" s="482" t="str">
        <f>IFERROR(VLOOKUP(G197,MODULY_CBA!$B$3:$I$23,6,0),"")</f>
        <v/>
      </c>
      <c r="R197" s="385"/>
      <c r="S197" s="385"/>
      <c r="T197" s="385"/>
      <c r="U197" s="385"/>
      <c r="V197" s="385"/>
      <c r="W197" s="385"/>
      <c r="X197" s="385"/>
      <c r="Y197" s="385"/>
      <c r="Z197" s="385"/>
      <c r="AA197" s="385"/>
      <c r="AB197" s="385"/>
      <c r="AC197" s="385"/>
      <c r="AD197" s="385"/>
      <c r="AE197" s="385"/>
      <c r="AF197" s="377"/>
    </row>
    <row r="198" spans="1:32">
      <c r="A198" s="404"/>
      <c r="B198" s="404"/>
      <c r="C198" s="535"/>
      <c r="D198" s="535"/>
      <c r="E198" s="535"/>
      <c r="F198" s="386"/>
      <c r="G198" s="386"/>
      <c r="H198" s="652"/>
      <c r="I198" s="652"/>
      <c r="J198" s="382">
        <f t="shared" si="16"/>
        <v>0</v>
      </c>
      <c r="K198" s="382">
        <f t="shared" si="17"/>
        <v>0</v>
      </c>
      <c r="L198" s="646">
        <f>IFERROR(IF(B198="funkcna poziadavka",VLOOKUP(G198,MODULY_CBA!$B$3:$E$23,4,0)*H198/SUMIFS($H$3:$H$199,$G$3:$G$199,G198,$B$3:$B$199,B198),),)</f>
        <v>0</v>
      </c>
      <c r="M198" s="382">
        <f>IFERROR(IF(B198="Funkcna poziadavka",VLOOKUP(G198,MODULY_CBA!$B$3:$E$23,3,0),),)</f>
        <v>0</v>
      </c>
      <c r="N198" s="382">
        <f>IFERROR(IF(B198="funkcna poziadavka",VLOOKUP(G198,MODULY_CBA!$B$3:$E$23,2,0),),)</f>
        <v>0</v>
      </c>
      <c r="O198" s="381">
        <f t="shared" si="18"/>
        <v>0</v>
      </c>
      <c r="P198" s="380">
        <f>IFERROR(O198*VLOOKUP(G198,MODULY_CBA!$B$3:$F$23,5,0),)</f>
        <v>0</v>
      </c>
      <c r="Q198" s="482" t="str">
        <f>IFERROR(VLOOKUP(G198,MODULY_CBA!$B$3:$I$23,6,0),"")</f>
        <v/>
      </c>
      <c r="R198" s="385"/>
      <c r="S198" s="385"/>
      <c r="T198" s="385"/>
      <c r="U198" s="385"/>
      <c r="V198" s="385"/>
      <c r="W198" s="385"/>
      <c r="X198" s="385"/>
      <c r="Y198" s="385"/>
      <c r="Z198" s="385"/>
      <c r="AA198" s="385"/>
      <c r="AB198" s="385"/>
      <c r="AC198" s="385"/>
      <c r="AD198" s="385"/>
      <c r="AE198" s="385"/>
      <c r="AF198" s="377"/>
    </row>
    <row r="199" spans="1:32">
      <c r="A199" s="404"/>
      <c r="B199" s="404"/>
      <c r="C199" s="535"/>
      <c r="D199" s="535"/>
      <c r="E199" s="535"/>
      <c r="F199" s="386"/>
      <c r="G199" s="386"/>
      <c r="H199" s="652"/>
      <c r="I199" s="652"/>
      <c r="J199" s="382">
        <f t="shared" si="16"/>
        <v>0</v>
      </c>
      <c r="K199" s="382">
        <f t="shared" si="17"/>
        <v>0</v>
      </c>
      <c r="L199" s="646">
        <f>IFERROR(IF(B199="funkcna poziadavka",VLOOKUP(G199,MODULY_CBA!$B$3:$E$23,4,0)*H199/SUMIFS($H$3:$H$199,$G$3:$G$199,G199,$B$3:$B$199,B199),),)</f>
        <v>0</v>
      </c>
      <c r="M199" s="382">
        <f>IFERROR(IF(B199="Funkcna poziadavka",VLOOKUP(G199,MODULY_CBA!$B$3:$E$23,3,0),),)</f>
        <v>0</v>
      </c>
      <c r="N199" s="382">
        <f>IFERROR(IF(B199="funkcna poziadavka",VLOOKUP(G199,MODULY_CBA!$B$3:$E$23,2,0),),)</f>
        <v>0</v>
      </c>
      <c r="O199" s="381">
        <f t="shared" si="18"/>
        <v>0</v>
      </c>
      <c r="P199" s="380">
        <f>IFERROR(O199*VLOOKUP(G199,MODULY_CBA!$B$3:$F$23,5,0),)</f>
        <v>0</v>
      </c>
      <c r="Q199" s="482" t="str">
        <f>IFERROR(VLOOKUP(G199,MODULY_CBA!$B$3:$I$23,6,0),"")</f>
        <v/>
      </c>
      <c r="R199" s="385"/>
      <c r="S199" s="385"/>
      <c r="T199" s="385"/>
      <c r="U199" s="385"/>
      <c r="V199" s="385"/>
      <c r="W199" s="385"/>
      <c r="X199" s="385"/>
      <c r="Y199" s="385"/>
      <c r="Z199" s="385"/>
      <c r="AA199" s="385"/>
      <c r="AB199" s="385"/>
      <c r="AC199" s="385"/>
      <c r="AD199" s="385"/>
      <c r="AE199" s="385"/>
      <c r="AF199" s="377"/>
    </row>
    <row r="200" spans="1:32">
      <c r="A200" s="404"/>
      <c r="B200" s="404"/>
      <c r="C200" s="535"/>
      <c r="D200" s="535"/>
      <c r="E200" s="535"/>
      <c r="F200" s="386"/>
      <c r="G200" s="386"/>
      <c r="H200" s="652"/>
      <c r="I200" s="652"/>
      <c r="J200" s="382">
        <f t="shared" si="16"/>
        <v>0</v>
      </c>
      <c r="K200" s="382">
        <f t="shared" si="17"/>
        <v>0</v>
      </c>
      <c r="L200" s="646">
        <f>IFERROR(IF(B200="funkcna poziadavka",VLOOKUP(G200,MODULY_CBA!$B$3:$E$23,4,0)*H200/SUMIFS($H$3:$H$199,$G$3:$G$199,G200,$B$3:$B$199,B200),),)</f>
        <v>0</v>
      </c>
      <c r="M200" s="382">
        <f>IFERROR(IF(B200="Funkcna poziadavka",VLOOKUP(G200,MODULY_CBA!$B$3:$E$23,3,0),),)</f>
        <v>0</v>
      </c>
      <c r="N200" s="382">
        <f>IFERROR(IF(B200="funkcna poziadavka",VLOOKUP(G200,MODULY_CBA!$B$3:$E$23,2,0),),)</f>
        <v>0</v>
      </c>
      <c r="O200" s="381">
        <f t="shared" si="18"/>
        <v>0</v>
      </c>
      <c r="P200" s="380">
        <f>IFERROR(O200*VLOOKUP(G200,MODULY_CBA!$B$3:$F$23,5,0),)</f>
        <v>0</v>
      </c>
      <c r="Q200" s="482" t="str">
        <f>IFERROR(VLOOKUP(G200,MODULY_CBA!$B$3:$I$23,6,0),"")</f>
        <v/>
      </c>
      <c r="R200" s="385"/>
      <c r="S200" s="385"/>
      <c r="T200" s="385"/>
      <c r="U200" s="385"/>
      <c r="V200" s="385"/>
      <c r="W200" s="385"/>
      <c r="X200" s="385"/>
      <c r="Y200" s="385"/>
      <c r="Z200" s="385"/>
      <c r="AA200" s="385"/>
      <c r="AB200" s="385"/>
      <c r="AC200" s="385"/>
      <c r="AD200" s="385"/>
      <c r="AE200" s="385"/>
      <c r="AF200" s="377"/>
    </row>
    <row r="201" spans="1:32">
      <c r="A201" s="404"/>
      <c r="B201" s="404"/>
      <c r="C201" s="535"/>
      <c r="D201" s="535"/>
      <c r="E201" s="535"/>
      <c r="F201" s="386"/>
      <c r="G201" s="386"/>
      <c r="H201" s="652"/>
      <c r="I201" s="652"/>
      <c r="J201" s="382">
        <f t="shared" si="16"/>
        <v>0</v>
      </c>
      <c r="K201" s="382">
        <f t="shared" si="17"/>
        <v>0</v>
      </c>
      <c r="L201" s="646">
        <f>IFERROR(IF(B201="funkcna poziadavka",VLOOKUP(G201,MODULY_CBA!$B$3:$E$23,4,0)*H201/SUMIFS($H$3:$H$199,$G$3:$G$199,G201,$B$3:$B$199,B201),),)</f>
        <v>0</v>
      </c>
      <c r="M201" s="382">
        <f>IFERROR(IF(B201="Funkcna poziadavka",VLOOKUP(G201,MODULY_CBA!$B$3:$E$23,3,0),),)</f>
        <v>0</v>
      </c>
      <c r="N201" s="382">
        <f>IFERROR(IF(B201="funkcna poziadavka",VLOOKUP(G201,MODULY_CBA!$B$3:$E$23,2,0),),)</f>
        <v>0</v>
      </c>
      <c r="O201" s="381">
        <f t="shared" si="18"/>
        <v>0</v>
      </c>
      <c r="P201" s="380">
        <f>IFERROR(O201*VLOOKUP(G201,MODULY_CBA!$B$3:$F$23,5,0),)</f>
        <v>0</v>
      </c>
      <c r="Q201" s="482" t="str">
        <f>IFERROR(VLOOKUP(G201,MODULY_CBA!$B$3:$I$23,6,0),"")</f>
        <v/>
      </c>
      <c r="R201" s="385"/>
      <c r="S201" s="385"/>
      <c r="T201" s="385"/>
      <c r="U201" s="385"/>
      <c r="V201" s="385"/>
      <c r="W201" s="385"/>
      <c r="X201" s="385"/>
      <c r="Y201" s="385"/>
      <c r="Z201" s="385"/>
      <c r="AA201" s="385"/>
      <c r="AB201" s="385"/>
      <c r="AC201" s="385"/>
      <c r="AD201" s="385"/>
      <c r="AE201" s="385"/>
      <c r="AF201" s="377"/>
    </row>
    <row r="202" spans="1:32">
      <c r="A202" s="404"/>
      <c r="B202" s="404"/>
      <c r="C202" s="535"/>
      <c r="D202" s="535"/>
      <c r="E202" s="535"/>
      <c r="F202" s="386"/>
      <c r="G202" s="386"/>
      <c r="H202" s="652"/>
      <c r="I202" s="652"/>
      <c r="J202" s="382">
        <f t="shared" si="16"/>
        <v>0</v>
      </c>
      <c r="K202" s="382">
        <f t="shared" si="17"/>
        <v>0</v>
      </c>
      <c r="L202" s="646">
        <f>IFERROR(IF(B202="funkcna poziadavka",VLOOKUP(G202,MODULY_CBA!$B$3:$E$23,4,0)*H202/SUMIFS($H$3:$H$199,$G$3:$G$199,G202,$B$3:$B$199,B202),),)</f>
        <v>0</v>
      </c>
      <c r="M202" s="382">
        <f>IFERROR(IF(B202="Funkcna poziadavka",VLOOKUP(G202,MODULY_CBA!$B$3:$E$23,3,0),),)</f>
        <v>0</v>
      </c>
      <c r="N202" s="382">
        <f>IFERROR(IF(B202="funkcna poziadavka",VLOOKUP(G202,MODULY_CBA!$B$3:$E$23,2,0),),)</f>
        <v>0</v>
      </c>
      <c r="O202" s="381">
        <f t="shared" si="18"/>
        <v>0</v>
      </c>
      <c r="P202" s="380">
        <f>IFERROR(O202*VLOOKUP(G202,MODULY_CBA!$B$3:$F$23,5,0),)</f>
        <v>0</v>
      </c>
      <c r="Q202" s="482" t="str">
        <f>IFERROR(VLOOKUP(G202,MODULY_CBA!$B$3:$I$23,6,0),"")</f>
        <v/>
      </c>
      <c r="R202" s="385"/>
      <c r="S202" s="385"/>
      <c r="T202" s="385"/>
      <c r="U202" s="385"/>
      <c r="V202" s="385"/>
      <c r="W202" s="385"/>
      <c r="X202" s="385"/>
      <c r="Y202" s="385"/>
      <c r="Z202" s="385"/>
      <c r="AA202" s="385"/>
      <c r="AB202" s="385"/>
      <c r="AC202" s="385"/>
      <c r="AD202" s="385"/>
      <c r="AE202" s="385"/>
      <c r="AF202" s="377"/>
    </row>
    <row r="203" spans="1:32">
      <c r="A203" s="404"/>
      <c r="B203" s="404"/>
      <c r="C203" s="535"/>
      <c r="D203" s="535"/>
      <c r="E203" s="535"/>
      <c r="F203" s="386"/>
      <c r="G203" s="386"/>
      <c r="H203" s="652"/>
      <c r="I203" s="652"/>
      <c r="J203" s="382">
        <f t="shared" si="16"/>
        <v>0</v>
      </c>
      <c r="K203" s="382">
        <f t="shared" si="17"/>
        <v>0</v>
      </c>
      <c r="L203" s="646">
        <f>IFERROR(IF(B203="funkcna poziadavka",VLOOKUP(G203,MODULY_CBA!$B$3:$E$23,4,0)*H203/SUMIFS($H$3:$H$199,$G$3:$G$199,G203,$B$3:$B$199,B203),),)</f>
        <v>0</v>
      </c>
      <c r="M203" s="382">
        <f>IFERROR(IF(B203="Funkcna poziadavka",VLOOKUP(G203,MODULY_CBA!$B$3:$E$23,3,0),),)</f>
        <v>0</v>
      </c>
      <c r="N203" s="382">
        <f>IFERROR(IF(B203="funkcna poziadavka",VLOOKUP(G203,MODULY_CBA!$B$3:$E$23,2,0),),)</f>
        <v>0</v>
      </c>
      <c r="O203" s="381">
        <f t="shared" si="18"/>
        <v>0</v>
      </c>
      <c r="P203" s="380">
        <f>IFERROR(O203*VLOOKUP(G203,MODULY_CBA!$B$3:$F$23,5,0),)</f>
        <v>0</v>
      </c>
      <c r="Q203" s="482" t="str">
        <f>IFERROR(VLOOKUP(G203,MODULY_CBA!$B$3:$I$23,6,0),"")</f>
        <v/>
      </c>
      <c r="R203" s="385"/>
      <c r="S203" s="385"/>
      <c r="T203" s="385"/>
      <c r="U203" s="385"/>
      <c r="V203" s="385"/>
      <c r="W203" s="385"/>
      <c r="X203" s="385"/>
      <c r="Y203" s="385"/>
      <c r="Z203" s="385"/>
      <c r="AA203" s="385"/>
      <c r="AB203" s="385"/>
      <c r="AC203" s="385"/>
      <c r="AD203" s="385"/>
      <c r="AE203" s="385"/>
      <c r="AF203" s="377"/>
    </row>
    <row r="204" spans="1:32">
      <c r="A204" s="404"/>
      <c r="B204" s="404"/>
      <c r="C204" s="535"/>
      <c r="D204" s="535"/>
      <c r="E204" s="535"/>
      <c r="F204" s="386"/>
      <c r="G204" s="386"/>
      <c r="H204" s="652"/>
      <c r="I204" s="652"/>
      <c r="J204" s="382">
        <f t="shared" si="16"/>
        <v>0</v>
      </c>
      <c r="K204" s="382">
        <f t="shared" si="17"/>
        <v>0</v>
      </c>
      <c r="L204" s="646">
        <f>IFERROR(IF(B204="funkcna poziadavka",VLOOKUP(G204,MODULY_CBA!$B$3:$E$23,4,0)*H204/SUMIFS($H$3:$H$199,$G$3:$G$199,G204,$B$3:$B$199,B204),),)</f>
        <v>0</v>
      </c>
      <c r="M204" s="382">
        <f>IFERROR(IF(B204="Funkcna poziadavka",VLOOKUP(G204,MODULY_CBA!$B$3:$E$23,3,0),),)</f>
        <v>0</v>
      </c>
      <c r="N204" s="382">
        <f>IFERROR(IF(B204="funkcna poziadavka",VLOOKUP(G204,MODULY_CBA!$B$3:$E$23,2,0),),)</f>
        <v>0</v>
      </c>
      <c r="O204" s="381">
        <f t="shared" si="18"/>
        <v>0</v>
      </c>
      <c r="P204" s="380">
        <f>IFERROR(O204*VLOOKUP(G204,MODULY_CBA!$B$3:$F$23,5,0),)</f>
        <v>0</v>
      </c>
      <c r="Q204" s="482" t="str">
        <f>IFERROR(VLOOKUP(G204,MODULY_CBA!$B$3:$I$23,6,0),"")</f>
        <v/>
      </c>
      <c r="R204" s="385"/>
      <c r="S204" s="385"/>
      <c r="T204" s="385"/>
      <c r="U204" s="385"/>
      <c r="V204" s="385"/>
      <c r="W204" s="385"/>
      <c r="X204" s="385"/>
      <c r="Y204" s="385"/>
      <c r="Z204" s="385"/>
      <c r="AA204" s="385"/>
      <c r="AB204" s="385"/>
      <c r="AC204" s="385"/>
      <c r="AD204" s="385"/>
      <c r="AE204" s="385"/>
      <c r="AF204" s="377"/>
    </row>
    <row r="205" spans="1:32">
      <c r="A205" s="404"/>
      <c r="B205" s="404"/>
      <c r="C205" s="535"/>
      <c r="D205" s="535"/>
      <c r="E205" s="535"/>
      <c r="F205" s="386"/>
      <c r="G205" s="386"/>
      <c r="H205" s="652"/>
      <c r="I205" s="652"/>
      <c r="J205" s="382">
        <f t="shared" si="16"/>
        <v>0</v>
      </c>
      <c r="K205" s="382">
        <f t="shared" si="17"/>
        <v>0</v>
      </c>
      <c r="L205" s="646">
        <f>IFERROR(IF(B205="funkcna poziadavka",VLOOKUP(G205,MODULY_CBA!$B$3:$E$23,4,0)*H205/SUMIFS($H$3:$H$199,$G$3:$G$199,G205,$B$3:$B$199,B205),),)</f>
        <v>0</v>
      </c>
      <c r="M205" s="382">
        <f>IFERROR(IF(B205="Funkcna poziadavka",VLOOKUP(G205,MODULY_CBA!$B$3:$E$23,3,0),),)</f>
        <v>0</v>
      </c>
      <c r="N205" s="382">
        <f>IFERROR(IF(B205="funkcna poziadavka",VLOOKUP(G205,MODULY_CBA!$B$3:$E$23,2,0),),)</f>
        <v>0</v>
      </c>
      <c r="O205" s="381">
        <f t="shared" si="18"/>
        <v>0</v>
      </c>
      <c r="P205" s="380">
        <f>IFERROR(O205*VLOOKUP(G205,MODULY_CBA!$B$3:$F$23,5,0),)</f>
        <v>0</v>
      </c>
      <c r="Q205" s="482" t="str">
        <f>IFERROR(VLOOKUP(G205,MODULY_CBA!$B$3:$I$23,6,0),"")</f>
        <v/>
      </c>
      <c r="R205" s="385"/>
      <c r="S205" s="385"/>
      <c r="T205" s="385"/>
      <c r="U205" s="385"/>
      <c r="V205" s="385"/>
      <c r="W205" s="385"/>
      <c r="X205" s="385"/>
      <c r="Y205" s="385"/>
      <c r="Z205" s="385"/>
      <c r="AA205" s="385"/>
      <c r="AB205" s="385"/>
      <c r="AC205" s="385"/>
      <c r="AD205" s="385"/>
      <c r="AE205" s="385"/>
      <c r="AF205" s="377"/>
    </row>
    <row r="206" spans="1:32">
      <c r="A206" s="404"/>
      <c r="B206" s="404"/>
      <c r="C206" s="535"/>
      <c r="D206" s="535"/>
      <c r="E206" s="535"/>
      <c r="F206" s="386"/>
      <c r="G206" s="386"/>
      <c r="H206" s="652"/>
      <c r="I206" s="652"/>
      <c r="J206" s="382">
        <f t="shared" si="16"/>
        <v>0</v>
      </c>
      <c r="K206" s="382">
        <f t="shared" si="17"/>
        <v>0</v>
      </c>
      <c r="L206" s="646">
        <f>IFERROR(IF(B206="funkcna poziadavka",VLOOKUP(G206,MODULY_CBA!$B$3:$E$23,4,0)*H206/SUMIFS($H$3:$H$199,$G$3:$G$199,G206,$B$3:$B$199,B206),),)</f>
        <v>0</v>
      </c>
      <c r="M206" s="382">
        <f>IFERROR(IF(B206="Funkcna poziadavka",VLOOKUP(G206,MODULY_CBA!$B$3:$E$23,3,0),),)</f>
        <v>0</v>
      </c>
      <c r="N206" s="382">
        <f>IFERROR(IF(B206="funkcna poziadavka",VLOOKUP(G206,MODULY_CBA!$B$3:$E$23,2,0),),)</f>
        <v>0</v>
      </c>
      <c r="O206" s="381">
        <f t="shared" si="18"/>
        <v>0</v>
      </c>
      <c r="P206" s="380">
        <f>IFERROR(O206*VLOOKUP(G206,MODULY_CBA!$B$3:$F$23,5,0),)</f>
        <v>0</v>
      </c>
      <c r="Q206" s="482" t="str">
        <f>IFERROR(VLOOKUP(G206,MODULY_CBA!$B$3:$I$23,6,0),"")</f>
        <v/>
      </c>
      <c r="R206" s="385"/>
      <c r="S206" s="385"/>
      <c r="T206" s="385"/>
      <c r="U206" s="385"/>
      <c r="V206" s="385"/>
      <c r="W206" s="385"/>
      <c r="X206" s="385"/>
      <c r="Y206" s="385"/>
      <c r="Z206" s="385"/>
      <c r="AA206" s="385"/>
      <c r="AB206" s="385"/>
      <c r="AC206" s="385"/>
      <c r="AD206" s="385"/>
      <c r="AE206" s="385"/>
      <c r="AF206" s="377"/>
    </row>
    <row r="207" spans="1:32">
      <c r="A207" s="404"/>
      <c r="B207" s="404"/>
      <c r="C207" s="535"/>
      <c r="D207" s="535"/>
      <c r="E207" s="535"/>
      <c r="F207" s="386"/>
      <c r="G207" s="386"/>
      <c r="H207" s="652"/>
      <c r="I207" s="652"/>
      <c r="J207" s="382">
        <f t="shared" si="16"/>
        <v>0</v>
      </c>
      <c r="K207" s="382">
        <f t="shared" si="17"/>
        <v>0</v>
      </c>
      <c r="L207" s="646">
        <f>IFERROR(IF(B207="funkcna poziadavka",VLOOKUP(G207,MODULY_CBA!$B$3:$E$23,4,0)*H207/SUMIFS($H$3:$H$199,$G$3:$G$199,G207,$B$3:$B$199,B207),),)</f>
        <v>0</v>
      </c>
      <c r="M207" s="382">
        <f>IFERROR(IF(B207="Funkcna poziadavka",VLOOKUP(G207,MODULY_CBA!$B$3:$E$23,3,0),),)</f>
        <v>0</v>
      </c>
      <c r="N207" s="382">
        <f>IFERROR(IF(B207="funkcna poziadavka",VLOOKUP(G207,MODULY_CBA!$B$3:$E$23,2,0),),)</f>
        <v>0</v>
      </c>
      <c r="O207" s="381">
        <f t="shared" si="18"/>
        <v>0</v>
      </c>
      <c r="P207" s="380">
        <f>IFERROR(O207*VLOOKUP(G207,MODULY_CBA!$B$3:$F$23,5,0),)</f>
        <v>0</v>
      </c>
      <c r="Q207" s="482" t="str">
        <f>IFERROR(VLOOKUP(G207,MODULY_CBA!$B$3:$I$23,6,0),"")</f>
        <v/>
      </c>
      <c r="R207" s="385"/>
      <c r="S207" s="385"/>
      <c r="T207" s="385"/>
      <c r="U207" s="385"/>
      <c r="V207" s="385"/>
      <c r="W207" s="385"/>
      <c r="X207" s="385"/>
      <c r="Y207" s="385"/>
      <c r="Z207" s="385"/>
      <c r="AA207" s="385"/>
      <c r="AB207" s="385"/>
      <c r="AC207" s="385"/>
      <c r="AD207" s="385"/>
      <c r="AE207" s="385"/>
      <c r="AF207" s="377"/>
    </row>
    <row r="208" spans="1:32">
      <c r="A208" s="404"/>
      <c r="B208" s="404"/>
      <c r="C208" s="535"/>
      <c r="D208" s="535"/>
      <c r="E208" s="535"/>
      <c r="F208" s="386"/>
      <c r="G208" s="386"/>
      <c r="H208" s="652"/>
      <c r="I208" s="652"/>
      <c r="J208" s="382">
        <f t="shared" si="16"/>
        <v>0</v>
      </c>
      <c r="K208" s="382">
        <f t="shared" si="17"/>
        <v>0</v>
      </c>
      <c r="L208" s="646">
        <f>IFERROR(IF(B208="funkcna poziadavka",VLOOKUP(G208,MODULY_CBA!$B$3:$E$23,4,0)*H208/SUMIFS($H$3:$H$199,$G$3:$G$199,G208,$B$3:$B$199,B208),),)</f>
        <v>0</v>
      </c>
      <c r="M208" s="382">
        <f>IFERROR(IF(B208="Funkcna poziadavka",VLOOKUP(G208,MODULY_CBA!$B$3:$E$23,3,0),),)</f>
        <v>0</v>
      </c>
      <c r="N208" s="382">
        <f>IFERROR(IF(B208="funkcna poziadavka",VLOOKUP(G208,MODULY_CBA!$B$3:$E$23,2,0),),)</f>
        <v>0</v>
      </c>
      <c r="O208" s="381">
        <f t="shared" si="18"/>
        <v>0</v>
      </c>
      <c r="P208" s="380">
        <f>IFERROR(O208*VLOOKUP(G208,MODULY_CBA!$B$3:$F$23,5,0),)</f>
        <v>0</v>
      </c>
      <c r="Q208" s="482" t="str">
        <f>IFERROR(VLOOKUP(G208,MODULY_CBA!$B$3:$I$23,6,0),"")</f>
        <v/>
      </c>
      <c r="R208" s="385"/>
      <c r="S208" s="385"/>
      <c r="T208" s="385"/>
      <c r="U208" s="385"/>
      <c r="V208" s="385"/>
      <c r="W208" s="385"/>
      <c r="X208" s="385"/>
      <c r="Y208" s="385"/>
      <c r="Z208" s="385"/>
      <c r="AA208" s="385"/>
      <c r="AB208" s="385"/>
      <c r="AC208" s="385"/>
      <c r="AD208" s="385"/>
      <c r="AE208" s="385"/>
      <c r="AF208" s="377"/>
    </row>
    <row r="209" spans="1:32">
      <c r="A209" s="404"/>
      <c r="B209" s="404"/>
      <c r="C209" s="535"/>
      <c r="D209" s="535"/>
      <c r="E209" s="535"/>
      <c r="F209" s="386"/>
      <c r="G209" s="386"/>
      <c r="H209" s="652"/>
      <c r="I209" s="652"/>
      <c r="J209" s="382">
        <f t="shared" si="16"/>
        <v>0</v>
      </c>
      <c r="K209" s="382">
        <f t="shared" si="17"/>
        <v>0</v>
      </c>
      <c r="L209" s="646">
        <f>IFERROR(IF(B209="funkcna poziadavka",VLOOKUP(G209,MODULY_CBA!$B$3:$E$23,4,0)*H209/SUMIFS($H$3:$H$199,$G$3:$G$199,G209,$B$3:$B$199,B209),),)</f>
        <v>0</v>
      </c>
      <c r="M209" s="382">
        <f>IFERROR(IF(B209="Funkcna poziadavka",VLOOKUP(G209,MODULY_CBA!$B$3:$E$23,3,0),),)</f>
        <v>0</v>
      </c>
      <c r="N209" s="382">
        <f>IFERROR(IF(B209="funkcna poziadavka",VLOOKUP(G209,MODULY_CBA!$B$3:$E$23,2,0),),)</f>
        <v>0</v>
      </c>
      <c r="O209" s="381">
        <f t="shared" si="18"/>
        <v>0</v>
      </c>
      <c r="P209" s="380">
        <f>IFERROR(O209*VLOOKUP(G209,MODULY_CBA!$B$3:$F$23,5,0),)</f>
        <v>0</v>
      </c>
      <c r="Q209" s="482" t="str">
        <f>IFERROR(VLOOKUP(G209,MODULY_CBA!$B$3:$I$23,6,0),"")</f>
        <v/>
      </c>
      <c r="R209" s="385"/>
      <c r="S209" s="385"/>
      <c r="T209" s="385"/>
      <c r="U209" s="385"/>
      <c r="V209" s="385"/>
      <c r="W209" s="385"/>
      <c r="X209" s="385"/>
      <c r="Y209" s="385"/>
      <c r="Z209" s="385"/>
      <c r="AA209" s="385"/>
      <c r="AB209" s="385"/>
      <c r="AC209" s="385"/>
      <c r="AD209" s="385"/>
      <c r="AE209" s="385"/>
      <c r="AF209" s="377"/>
    </row>
    <row r="210" spans="1:32">
      <c r="A210" s="404"/>
      <c r="B210" s="404"/>
      <c r="C210" s="535"/>
      <c r="D210" s="535"/>
      <c r="E210" s="535"/>
      <c r="F210" s="386"/>
      <c r="G210" s="386"/>
      <c r="H210" s="652"/>
      <c r="I210" s="652"/>
      <c r="J210" s="382">
        <f t="shared" si="16"/>
        <v>0</v>
      </c>
      <c r="K210" s="382">
        <f t="shared" si="17"/>
        <v>0</v>
      </c>
      <c r="L210" s="646">
        <f>IFERROR(IF(B210="funkcna poziadavka",VLOOKUP(G210,MODULY_CBA!$B$3:$E$23,4,0)*H210/SUMIFS($H$3:$H$199,$G$3:$G$199,G210,$B$3:$B$199,B210),),)</f>
        <v>0</v>
      </c>
      <c r="M210" s="382">
        <f>IFERROR(IF(B210="Funkcna poziadavka",VLOOKUP(G210,MODULY_CBA!$B$3:$E$23,3,0),),)</f>
        <v>0</v>
      </c>
      <c r="N210" s="382">
        <f>IFERROR(IF(B210="funkcna poziadavka",VLOOKUP(G210,MODULY_CBA!$B$3:$E$23,2,0),),)</f>
        <v>0</v>
      </c>
      <c r="O210" s="381">
        <f t="shared" si="18"/>
        <v>0</v>
      </c>
      <c r="P210" s="380">
        <f>IFERROR(O210*VLOOKUP(G210,MODULY_CBA!$B$3:$F$23,5,0),)</f>
        <v>0</v>
      </c>
      <c r="Q210" s="482" t="str">
        <f>IFERROR(VLOOKUP(G210,MODULY_CBA!$B$3:$I$23,6,0),"")</f>
        <v/>
      </c>
      <c r="R210" s="385"/>
      <c r="S210" s="385"/>
      <c r="T210" s="385"/>
      <c r="U210" s="385"/>
      <c r="V210" s="385"/>
      <c r="W210" s="385"/>
      <c r="X210" s="385"/>
      <c r="Y210" s="385"/>
      <c r="Z210" s="385"/>
      <c r="AA210" s="385"/>
      <c r="AB210" s="385"/>
      <c r="AC210" s="385"/>
      <c r="AD210" s="385"/>
      <c r="AE210" s="385"/>
      <c r="AF210" s="377"/>
    </row>
    <row r="211" spans="1:32">
      <c r="A211" s="404"/>
      <c r="B211" s="404"/>
      <c r="C211" s="535"/>
      <c r="D211" s="535"/>
      <c r="E211" s="535"/>
      <c r="F211" s="386"/>
      <c r="G211" s="386"/>
      <c r="H211" s="652"/>
      <c r="I211" s="652"/>
      <c r="J211" s="382">
        <f t="shared" si="16"/>
        <v>0</v>
      </c>
      <c r="K211" s="382">
        <f t="shared" si="17"/>
        <v>0</v>
      </c>
      <c r="L211" s="646">
        <f>IFERROR(IF(B211="funkcna poziadavka",VLOOKUP(G211,MODULY_CBA!$B$3:$E$23,4,0)*H211/SUMIFS($H$3:$H$199,$G$3:$G$199,G211,$B$3:$B$199,B211),),)</f>
        <v>0</v>
      </c>
      <c r="M211" s="382">
        <f>IFERROR(IF(B211="Funkcna poziadavka",VLOOKUP(G211,MODULY_CBA!$B$3:$E$23,3,0),),)</f>
        <v>0</v>
      </c>
      <c r="N211" s="382">
        <f>IFERROR(IF(B211="funkcna poziadavka",VLOOKUP(G211,MODULY_CBA!$B$3:$E$23,2,0),),)</f>
        <v>0</v>
      </c>
      <c r="O211" s="381">
        <f t="shared" si="18"/>
        <v>0</v>
      </c>
      <c r="P211" s="380">
        <f>IFERROR(O211*VLOOKUP(G211,MODULY_CBA!$B$3:$F$23,5,0),)</f>
        <v>0</v>
      </c>
      <c r="Q211" s="482" t="str">
        <f>IFERROR(VLOOKUP(G211,MODULY_CBA!$B$3:$I$23,6,0),"")</f>
        <v/>
      </c>
      <c r="R211" s="385"/>
      <c r="S211" s="385"/>
      <c r="T211" s="385"/>
      <c r="U211" s="385"/>
      <c r="V211" s="385"/>
      <c r="W211" s="385"/>
      <c r="X211" s="385"/>
      <c r="Y211" s="385"/>
      <c r="Z211" s="385"/>
      <c r="AA211" s="385"/>
      <c r="AB211" s="385"/>
      <c r="AC211" s="385"/>
      <c r="AD211" s="385"/>
      <c r="AE211" s="385"/>
      <c r="AF211" s="377"/>
    </row>
    <row r="212" spans="1:32">
      <c r="A212" s="404"/>
      <c r="B212" s="404"/>
      <c r="C212" s="535"/>
      <c r="D212" s="535"/>
      <c r="E212" s="535"/>
      <c r="F212" s="386"/>
      <c r="G212" s="386"/>
      <c r="H212" s="652"/>
      <c r="I212" s="652"/>
      <c r="J212" s="382">
        <f t="shared" si="16"/>
        <v>0</v>
      </c>
      <c r="K212" s="382">
        <f t="shared" si="17"/>
        <v>0</v>
      </c>
      <c r="L212" s="646">
        <f>IFERROR(IF(B212="funkcna poziadavka",VLOOKUP(G212,MODULY_CBA!$B$3:$E$23,4,0)*H212/SUMIFS($H$3:$H$199,$G$3:$G$199,G212,$B$3:$B$199,B212),),)</f>
        <v>0</v>
      </c>
      <c r="M212" s="382">
        <f>IFERROR(IF(B212="Funkcna poziadavka",VLOOKUP(G212,MODULY_CBA!$B$3:$E$23,3,0),),)</f>
        <v>0</v>
      </c>
      <c r="N212" s="382">
        <f>IFERROR(IF(B212="funkcna poziadavka",VLOOKUP(G212,MODULY_CBA!$B$3:$E$23,2,0),),)</f>
        <v>0</v>
      </c>
      <c r="O212" s="381">
        <f t="shared" si="18"/>
        <v>0</v>
      </c>
      <c r="P212" s="380">
        <f>IFERROR(O212*VLOOKUP(G212,MODULY_CBA!$B$3:$F$23,5,0),)</f>
        <v>0</v>
      </c>
      <c r="Q212" s="482" t="str">
        <f>IFERROR(VLOOKUP(G212,MODULY_CBA!$B$3:$I$23,6,0),"")</f>
        <v/>
      </c>
      <c r="R212" s="385"/>
      <c r="S212" s="385"/>
      <c r="T212" s="385"/>
      <c r="U212" s="385"/>
      <c r="V212" s="385"/>
      <c r="W212" s="385"/>
      <c r="X212" s="385"/>
      <c r="Y212" s="385"/>
      <c r="Z212" s="385"/>
      <c r="AA212" s="385"/>
      <c r="AB212" s="385"/>
      <c r="AC212" s="385"/>
      <c r="AD212" s="385"/>
      <c r="AE212" s="385"/>
      <c r="AF212" s="377"/>
    </row>
    <row r="213" spans="1:32">
      <c r="A213" s="404"/>
      <c r="B213" s="404"/>
      <c r="C213" s="535"/>
      <c r="D213" s="535"/>
      <c r="E213" s="535"/>
      <c r="F213" s="386"/>
      <c r="G213" s="386"/>
      <c r="H213" s="652"/>
      <c r="I213" s="652"/>
      <c r="J213" s="382">
        <f t="shared" si="16"/>
        <v>0</v>
      </c>
      <c r="K213" s="382">
        <f t="shared" si="17"/>
        <v>0</v>
      </c>
      <c r="L213" s="646">
        <f>IFERROR(IF(B213="funkcna poziadavka",VLOOKUP(G213,MODULY_CBA!$B$3:$E$23,4,0)*H213/SUMIFS($H$3:$H$199,$G$3:$G$199,G213,$B$3:$B$199,B213),),)</f>
        <v>0</v>
      </c>
      <c r="M213" s="382">
        <f>IFERROR(IF(B213="Funkcna poziadavka",VLOOKUP(G213,MODULY_CBA!$B$3:$E$23,3,0),),)</f>
        <v>0</v>
      </c>
      <c r="N213" s="382">
        <f>IFERROR(IF(B213="funkcna poziadavka",VLOOKUP(G213,MODULY_CBA!$B$3:$E$23,2,0),),)</f>
        <v>0</v>
      </c>
      <c r="O213" s="381">
        <f t="shared" si="18"/>
        <v>0</v>
      </c>
      <c r="P213" s="380">
        <f>IFERROR(O213*VLOOKUP(G213,MODULY_CBA!$B$3:$F$23,5,0),)</f>
        <v>0</v>
      </c>
      <c r="Q213" s="482" t="str">
        <f>IFERROR(VLOOKUP(G213,MODULY_CBA!$B$3:$I$23,6,0),"")</f>
        <v/>
      </c>
      <c r="R213" s="385"/>
      <c r="S213" s="385"/>
      <c r="T213" s="385"/>
      <c r="U213" s="385"/>
      <c r="V213" s="385"/>
      <c r="W213" s="385"/>
      <c r="X213" s="385"/>
      <c r="Y213" s="385"/>
      <c r="Z213" s="385"/>
      <c r="AA213" s="385"/>
      <c r="AB213" s="385"/>
      <c r="AC213" s="385"/>
      <c r="AD213" s="385"/>
      <c r="AE213" s="385"/>
      <c r="AF213" s="377"/>
    </row>
    <row r="214" spans="1:32">
      <c r="A214" s="404"/>
      <c r="B214" s="404"/>
      <c r="C214" s="535"/>
      <c r="D214" s="535"/>
      <c r="E214" s="535"/>
      <c r="F214" s="386"/>
      <c r="G214" s="386"/>
      <c r="H214" s="652"/>
      <c r="I214" s="652"/>
      <c r="J214" s="382">
        <f t="shared" si="16"/>
        <v>0</v>
      </c>
      <c r="K214" s="382">
        <f t="shared" si="17"/>
        <v>0</v>
      </c>
      <c r="L214" s="646">
        <f>IFERROR(IF(B214="funkcna poziadavka",VLOOKUP(G214,MODULY_CBA!$B$3:$E$23,4,0)*H214/SUMIFS($H$3:$H$199,$G$3:$G$199,G214,$B$3:$B$199,B214),),)</f>
        <v>0</v>
      </c>
      <c r="M214" s="382">
        <f>IFERROR(IF(B214="Funkcna poziadavka",VLOOKUP(G214,MODULY_CBA!$B$3:$E$23,3,0),),)</f>
        <v>0</v>
      </c>
      <c r="N214" s="382">
        <f>IFERROR(IF(B214="funkcna poziadavka",VLOOKUP(G214,MODULY_CBA!$B$3:$E$23,2,0),),)</f>
        <v>0</v>
      </c>
      <c r="O214" s="381">
        <f t="shared" si="18"/>
        <v>0</v>
      </c>
      <c r="P214" s="380">
        <f>IFERROR(O214*VLOOKUP(G214,MODULY_CBA!$B$3:$F$23,5,0),)</f>
        <v>0</v>
      </c>
      <c r="Q214" s="482" t="str">
        <f>IFERROR(VLOOKUP(G214,MODULY_CBA!$B$3:$I$23,6,0),"")</f>
        <v/>
      </c>
      <c r="R214" s="385"/>
      <c r="S214" s="385"/>
      <c r="T214" s="385"/>
      <c r="U214" s="385"/>
      <c r="V214" s="385"/>
      <c r="W214" s="385"/>
      <c r="X214" s="385"/>
      <c r="Y214" s="385"/>
      <c r="Z214" s="385"/>
      <c r="AA214" s="385"/>
      <c r="AB214" s="385"/>
      <c r="AC214" s="385"/>
      <c r="AD214" s="385"/>
      <c r="AE214" s="385"/>
      <c r="AF214" s="377"/>
    </row>
    <row r="215" spans="1:32">
      <c r="A215" s="404"/>
      <c r="B215" s="404"/>
      <c r="C215" s="535"/>
      <c r="D215" s="535"/>
      <c r="E215" s="535"/>
      <c r="F215" s="386"/>
      <c r="G215" s="386"/>
      <c r="H215" s="652"/>
      <c r="I215" s="652"/>
      <c r="J215" s="382">
        <f t="shared" si="16"/>
        <v>0</v>
      </c>
      <c r="K215" s="382">
        <f t="shared" si="17"/>
        <v>0</v>
      </c>
      <c r="L215" s="646">
        <f>IFERROR(IF(B215="funkcna poziadavka",VLOOKUP(G215,MODULY_CBA!$B$3:$E$23,4,0)*H215/SUMIFS($H$3:$H$199,$G$3:$G$199,G215,$B$3:$B$199,B215),),)</f>
        <v>0</v>
      </c>
      <c r="M215" s="382">
        <f>IFERROR(IF(B215="Funkcna poziadavka",VLOOKUP(G215,MODULY_CBA!$B$3:$E$23,3,0),),)</f>
        <v>0</v>
      </c>
      <c r="N215" s="382">
        <f>IFERROR(IF(B215="funkcna poziadavka",VLOOKUP(G215,MODULY_CBA!$B$3:$E$23,2,0),),)</f>
        <v>0</v>
      </c>
      <c r="O215" s="381">
        <f t="shared" si="18"/>
        <v>0</v>
      </c>
      <c r="P215" s="380">
        <f>IFERROR(O215*VLOOKUP(G215,MODULY_CBA!$B$3:$F$23,5,0),)</f>
        <v>0</v>
      </c>
      <c r="Q215" s="482" t="str">
        <f>IFERROR(VLOOKUP(G215,MODULY_CBA!$B$3:$I$23,6,0),"")</f>
        <v/>
      </c>
      <c r="R215" s="385"/>
      <c r="S215" s="385"/>
      <c r="T215" s="385"/>
      <c r="U215" s="385"/>
      <c r="V215" s="385"/>
      <c r="W215" s="385"/>
      <c r="X215" s="385"/>
      <c r="Y215" s="385"/>
      <c r="Z215" s="385"/>
      <c r="AA215" s="385"/>
      <c r="AB215" s="385"/>
      <c r="AC215" s="385"/>
      <c r="AD215" s="385"/>
      <c r="AE215" s="385"/>
      <c r="AF215" s="377"/>
    </row>
    <row r="216" spans="1:32">
      <c r="A216" s="404"/>
      <c r="B216" s="404"/>
      <c r="C216" s="535"/>
      <c r="D216" s="535"/>
      <c r="E216" s="535"/>
      <c r="F216" s="386"/>
      <c r="G216" s="386"/>
      <c r="H216" s="652"/>
      <c r="I216" s="652"/>
      <c r="J216" s="382">
        <f t="shared" si="16"/>
        <v>0</v>
      </c>
      <c r="K216" s="382">
        <f t="shared" si="17"/>
        <v>0</v>
      </c>
      <c r="L216" s="646">
        <f>IFERROR(IF(B216="funkcna poziadavka",VLOOKUP(G216,MODULY_CBA!$B$3:$E$23,4,0)*H216/SUMIFS($H$3:$H$199,$G$3:$G$199,G216,$B$3:$B$199,B216),),)</f>
        <v>0</v>
      </c>
      <c r="M216" s="382">
        <f>IFERROR(IF(B216="Funkcna poziadavka",VLOOKUP(G216,MODULY_CBA!$B$3:$E$23,3,0),),)</f>
        <v>0</v>
      </c>
      <c r="N216" s="382">
        <f>IFERROR(IF(B216="funkcna poziadavka",VLOOKUP(G216,MODULY_CBA!$B$3:$E$23,2,0),),)</f>
        <v>0</v>
      </c>
      <c r="O216" s="381">
        <f t="shared" si="18"/>
        <v>0</v>
      </c>
      <c r="P216" s="380">
        <f>IFERROR(O216*VLOOKUP(G216,MODULY_CBA!$B$3:$F$23,5,0),)</f>
        <v>0</v>
      </c>
      <c r="Q216" s="482" t="str">
        <f>IFERROR(VLOOKUP(G216,MODULY_CBA!$B$3:$I$23,6,0),"")</f>
        <v/>
      </c>
      <c r="R216" s="385"/>
      <c r="S216" s="385"/>
      <c r="T216" s="385"/>
      <c r="U216" s="385"/>
      <c r="V216" s="385"/>
      <c r="W216" s="385"/>
      <c r="X216" s="385"/>
      <c r="Y216" s="385"/>
      <c r="Z216" s="385"/>
      <c r="AA216" s="385"/>
      <c r="AB216" s="385"/>
      <c r="AC216" s="385"/>
      <c r="AD216" s="385"/>
      <c r="AE216" s="385"/>
      <c r="AF216" s="377"/>
    </row>
    <row r="217" spans="1:32">
      <c r="A217" s="404"/>
      <c r="B217" s="404"/>
      <c r="C217" s="535"/>
      <c r="D217" s="535"/>
      <c r="E217" s="535"/>
      <c r="F217" s="386"/>
      <c r="G217" s="386"/>
      <c r="H217" s="652"/>
      <c r="I217" s="652"/>
      <c r="J217" s="382">
        <f t="shared" si="16"/>
        <v>0</v>
      </c>
      <c r="K217" s="382">
        <f t="shared" si="17"/>
        <v>0</v>
      </c>
      <c r="L217" s="646">
        <f>IFERROR(IF(B217="funkcna poziadavka",VLOOKUP(G217,MODULY_CBA!$B$3:$E$23,4,0)*H217/SUMIFS($H$3:$H$199,$G$3:$G$199,G217,$B$3:$B$199,B217),),)</f>
        <v>0</v>
      </c>
      <c r="M217" s="382">
        <f>IFERROR(IF(B217="Funkcna poziadavka",VLOOKUP(G217,MODULY_CBA!$B$3:$E$23,3,0),),)</f>
        <v>0</v>
      </c>
      <c r="N217" s="382">
        <f>IFERROR(IF(B217="funkcna poziadavka",VLOOKUP(G217,MODULY_CBA!$B$3:$E$23,2,0),),)</f>
        <v>0</v>
      </c>
      <c r="O217" s="381">
        <f t="shared" si="18"/>
        <v>0</v>
      </c>
      <c r="P217" s="380">
        <f>IFERROR(O217*VLOOKUP(G217,MODULY_CBA!$B$3:$F$23,5,0),)</f>
        <v>0</v>
      </c>
      <c r="Q217" s="482" t="str">
        <f>IFERROR(VLOOKUP(G217,MODULY_CBA!$B$3:$I$23,6,0),"")</f>
        <v/>
      </c>
      <c r="R217" s="385"/>
      <c r="S217" s="385"/>
      <c r="T217" s="385"/>
      <c r="U217" s="385"/>
      <c r="V217" s="385"/>
      <c r="W217" s="385"/>
      <c r="X217" s="385"/>
      <c r="Y217" s="385"/>
      <c r="Z217" s="385"/>
      <c r="AA217" s="385"/>
      <c r="AB217" s="385"/>
      <c r="AC217" s="385"/>
      <c r="AD217" s="385"/>
      <c r="AE217" s="385"/>
      <c r="AF217" s="377"/>
    </row>
    <row r="218" spans="1:32">
      <c r="A218" s="404"/>
      <c r="B218" s="404"/>
      <c r="C218" s="535"/>
      <c r="D218" s="535"/>
      <c r="E218" s="535"/>
      <c r="F218" s="386"/>
      <c r="G218" s="386"/>
      <c r="H218" s="652"/>
      <c r="I218" s="652"/>
      <c r="J218" s="382">
        <f t="shared" si="16"/>
        <v>0</v>
      </c>
      <c r="K218" s="382">
        <f t="shared" si="17"/>
        <v>0</v>
      </c>
      <c r="L218" s="646">
        <f>IFERROR(IF(B218="funkcna poziadavka",VLOOKUP(G218,MODULY_CBA!$B$3:$E$23,4,0)*H218/SUMIFS($H$3:$H$199,$G$3:$G$199,G218,$B$3:$B$199,B218),),)</f>
        <v>0</v>
      </c>
      <c r="M218" s="382">
        <f>IFERROR(IF(B218="Funkcna poziadavka",VLOOKUP(G218,MODULY_CBA!$B$3:$E$23,3,0),),)</f>
        <v>0</v>
      </c>
      <c r="N218" s="382">
        <f>IFERROR(IF(B218="funkcna poziadavka",VLOOKUP(G218,MODULY_CBA!$B$3:$E$23,2,0),),)</f>
        <v>0</v>
      </c>
      <c r="O218" s="381">
        <f t="shared" si="18"/>
        <v>0</v>
      </c>
      <c r="P218" s="380">
        <f>IFERROR(O218*VLOOKUP(G218,MODULY_CBA!$B$3:$F$23,5,0),)</f>
        <v>0</v>
      </c>
      <c r="Q218" s="482" t="str">
        <f>IFERROR(VLOOKUP(G218,MODULY_CBA!$B$3:$I$23,6,0),"")</f>
        <v/>
      </c>
      <c r="R218" s="385"/>
      <c r="S218" s="385"/>
      <c r="T218" s="385"/>
      <c r="U218" s="385"/>
      <c r="V218" s="385"/>
      <c r="W218" s="385"/>
      <c r="X218" s="385"/>
      <c r="Y218" s="385"/>
      <c r="Z218" s="385"/>
      <c r="AA218" s="385"/>
      <c r="AB218" s="385"/>
      <c r="AC218" s="385"/>
      <c r="AD218" s="385"/>
      <c r="AE218" s="385"/>
      <c r="AF218" s="377"/>
    </row>
    <row r="219" spans="1:32">
      <c r="A219" s="404"/>
      <c r="B219" s="404"/>
      <c r="C219" s="535"/>
      <c r="D219" s="535"/>
      <c r="E219" s="535"/>
      <c r="F219" s="386"/>
      <c r="G219" s="386"/>
      <c r="H219" s="652"/>
      <c r="I219" s="652"/>
      <c r="J219" s="382">
        <f t="shared" si="16"/>
        <v>0</v>
      </c>
      <c r="K219" s="382">
        <f t="shared" si="17"/>
        <v>0</v>
      </c>
      <c r="L219" s="646">
        <f>IFERROR(IF(B219="funkcna poziadavka",VLOOKUP(G219,MODULY_CBA!$B$3:$E$23,4,0)*H219/SUMIFS($H$3:$H$199,$G$3:$G$199,G219,$B$3:$B$199,B219),),)</f>
        <v>0</v>
      </c>
      <c r="M219" s="382">
        <f>IFERROR(IF(B219="Funkcna poziadavka",VLOOKUP(G219,MODULY_CBA!$B$3:$E$23,3,0),),)</f>
        <v>0</v>
      </c>
      <c r="N219" s="382">
        <f>IFERROR(IF(B219="funkcna poziadavka",VLOOKUP(G219,MODULY_CBA!$B$3:$E$23,2,0),),)</f>
        <v>0</v>
      </c>
      <c r="O219" s="381">
        <f t="shared" si="18"/>
        <v>0</v>
      </c>
      <c r="P219" s="380">
        <f>IFERROR(O219*VLOOKUP(G219,MODULY_CBA!$B$3:$F$23,5,0),)</f>
        <v>0</v>
      </c>
      <c r="Q219" s="482" t="str">
        <f>IFERROR(VLOOKUP(G219,MODULY_CBA!$B$3:$I$23,6,0),"")</f>
        <v/>
      </c>
      <c r="R219" s="385"/>
      <c r="S219" s="385"/>
      <c r="T219" s="385"/>
      <c r="U219" s="385"/>
      <c r="V219" s="385"/>
      <c r="W219" s="385"/>
      <c r="X219" s="385"/>
      <c r="Y219" s="385"/>
      <c r="Z219" s="385"/>
      <c r="AA219" s="385"/>
      <c r="AB219" s="385"/>
      <c r="AC219" s="385"/>
      <c r="AD219" s="385"/>
      <c r="AE219" s="385"/>
      <c r="AF219" s="377"/>
    </row>
    <row r="220" spans="1:32">
      <c r="A220" s="404"/>
      <c r="B220" s="404"/>
      <c r="C220" s="535"/>
      <c r="D220" s="535"/>
      <c r="E220" s="535"/>
      <c r="F220" s="386"/>
      <c r="G220" s="386"/>
      <c r="H220" s="652"/>
      <c r="I220" s="652"/>
      <c r="J220" s="382">
        <f t="shared" si="16"/>
        <v>0</v>
      </c>
      <c r="K220" s="382">
        <f t="shared" si="17"/>
        <v>0</v>
      </c>
      <c r="L220" s="646">
        <f>IFERROR(IF(B220="funkcna poziadavka",VLOOKUP(G220,MODULY_CBA!$B$3:$E$23,4,0)*H220/SUMIFS($H$3:$H$199,$G$3:$G$199,G220,$B$3:$B$199,B220),),)</f>
        <v>0</v>
      </c>
      <c r="M220" s="382">
        <f>IFERROR(IF(B220="Funkcna poziadavka",VLOOKUP(G220,MODULY_CBA!$B$3:$E$23,3,0),),)</f>
        <v>0</v>
      </c>
      <c r="N220" s="382">
        <f>IFERROR(IF(B220="funkcna poziadavka",VLOOKUP(G220,MODULY_CBA!$B$3:$E$23,2,0),),)</f>
        <v>0</v>
      </c>
      <c r="O220" s="381">
        <f t="shared" si="18"/>
        <v>0</v>
      </c>
      <c r="P220" s="380">
        <f>IFERROR(O220*VLOOKUP(G220,MODULY_CBA!$B$3:$F$23,5,0),)</f>
        <v>0</v>
      </c>
      <c r="Q220" s="482" t="str">
        <f>IFERROR(VLOOKUP(G220,MODULY_CBA!$B$3:$I$23,6,0),"")</f>
        <v/>
      </c>
      <c r="R220" s="385"/>
      <c r="S220" s="385"/>
      <c r="T220" s="385"/>
      <c r="U220" s="385"/>
      <c r="V220" s="385"/>
      <c r="W220" s="385"/>
      <c r="X220" s="385"/>
      <c r="Y220" s="385"/>
      <c r="Z220" s="385"/>
      <c r="AA220" s="385"/>
      <c r="AB220" s="385"/>
      <c r="AC220" s="385"/>
      <c r="AD220" s="385"/>
      <c r="AE220" s="385"/>
      <c r="AF220" s="377"/>
    </row>
    <row r="221" spans="1:32">
      <c r="A221" s="404"/>
      <c r="B221" s="404"/>
      <c r="C221" s="535"/>
      <c r="D221" s="535"/>
      <c r="E221" s="535"/>
      <c r="F221" s="386"/>
      <c r="G221" s="386"/>
      <c r="H221" s="652"/>
      <c r="I221" s="652"/>
      <c r="J221" s="382">
        <f t="shared" si="16"/>
        <v>0</v>
      </c>
      <c r="K221" s="382">
        <f t="shared" si="17"/>
        <v>0</v>
      </c>
      <c r="L221" s="646">
        <f>IFERROR(IF(B221="funkcna poziadavka",VLOOKUP(G221,MODULY_CBA!$B$3:$E$23,4,0)*H221/SUMIFS($H$3:$H$199,$G$3:$G$199,G221,$B$3:$B$199,B221),),)</f>
        <v>0</v>
      </c>
      <c r="M221" s="382">
        <f>IFERROR(IF(B221="Funkcna poziadavka",VLOOKUP(G221,MODULY_CBA!$B$3:$E$23,3,0),),)</f>
        <v>0</v>
      </c>
      <c r="N221" s="382">
        <f>IFERROR(IF(B221="funkcna poziadavka",VLOOKUP(G221,MODULY_CBA!$B$3:$E$23,2,0),),)</f>
        <v>0</v>
      </c>
      <c r="O221" s="381">
        <f t="shared" si="18"/>
        <v>0</v>
      </c>
      <c r="P221" s="380">
        <f>IFERROR(O221*VLOOKUP(G221,MODULY_CBA!$B$3:$F$23,5,0),)</f>
        <v>0</v>
      </c>
      <c r="Q221" s="482" t="str">
        <f>IFERROR(VLOOKUP(G221,MODULY_CBA!$B$3:$I$23,6,0),"")</f>
        <v/>
      </c>
      <c r="R221" s="385"/>
      <c r="S221" s="385"/>
      <c r="T221" s="385"/>
      <c r="U221" s="385"/>
      <c r="V221" s="385"/>
      <c r="W221" s="385"/>
      <c r="X221" s="385"/>
      <c r="Y221" s="385"/>
      <c r="Z221" s="385"/>
      <c r="AA221" s="385"/>
      <c r="AB221" s="385"/>
      <c r="AC221" s="385"/>
      <c r="AD221" s="385"/>
      <c r="AE221" s="385"/>
      <c r="AF221" s="377"/>
    </row>
    <row r="222" spans="1:32">
      <c r="A222" s="404"/>
      <c r="B222" s="404"/>
      <c r="C222" s="535"/>
      <c r="D222" s="535"/>
      <c r="E222" s="535"/>
      <c r="F222" s="386"/>
      <c r="G222" s="386"/>
      <c r="H222" s="652"/>
      <c r="I222" s="652"/>
      <c r="J222" s="382">
        <f t="shared" si="16"/>
        <v>0</v>
      </c>
      <c r="K222" s="382">
        <f t="shared" si="17"/>
        <v>0</v>
      </c>
      <c r="L222" s="646">
        <f>IFERROR(IF(B222="funkcna poziadavka",VLOOKUP(G222,MODULY_CBA!$B$3:$E$23,4,0)*H222/SUMIFS($H$3:$H$199,$G$3:$G$199,G222,$B$3:$B$199,B222),),)</f>
        <v>0</v>
      </c>
      <c r="M222" s="382">
        <f>IFERROR(IF(B222="Funkcna poziadavka",VLOOKUP(G222,MODULY_CBA!$B$3:$E$23,3,0),),)</f>
        <v>0</v>
      </c>
      <c r="N222" s="382">
        <f>IFERROR(IF(B222="funkcna poziadavka",VLOOKUP(G222,MODULY_CBA!$B$3:$E$23,2,0),),)</f>
        <v>0</v>
      </c>
      <c r="O222" s="381">
        <f t="shared" si="18"/>
        <v>0</v>
      </c>
      <c r="P222" s="380">
        <f>IFERROR(O222*VLOOKUP(G222,MODULY_CBA!$B$3:$F$23,5,0),)</f>
        <v>0</v>
      </c>
      <c r="Q222" s="482" t="str">
        <f>IFERROR(VLOOKUP(G222,MODULY_CBA!$B$3:$I$23,6,0),"")</f>
        <v/>
      </c>
      <c r="R222" s="385"/>
      <c r="S222" s="385"/>
      <c r="T222" s="385"/>
      <c r="U222" s="385"/>
      <c r="V222" s="385"/>
      <c r="W222" s="385"/>
      <c r="X222" s="385"/>
      <c r="Y222" s="385"/>
      <c r="Z222" s="385"/>
      <c r="AA222" s="385"/>
      <c r="AB222" s="385"/>
      <c r="AC222" s="385"/>
      <c r="AD222" s="385"/>
      <c r="AE222" s="385"/>
      <c r="AF222" s="377"/>
    </row>
    <row r="223" spans="1:32">
      <c r="A223" s="404"/>
      <c r="B223" s="404"/>
      <c r="C223" s="535"/>
      <c r="D223" s="535"/>
      <c r="E223" s="535"/>
      <c r="F223" s="386"/>
      <c r="G223" s="386"/>
      <c r="H223" s="652"/>
      <c r="I223" s="652"/>
      <c r="J223" s="382">
        <f t="shared" si="16"/>
        <v>0</v>
      </c>
      <c r="K223" s="382">
        <f t="shared" si="17"/>
        <v>0</v>
      </c>
      <c r="L223" s="646">
        <f>IFERROR(IF(B223="funkcna poziadavka",VLOOKUP(G223,MODULY_CBA!$B$3:$E$23,4,0)*H223/SUMIFS($H$3:$H$199,$G$3:$G$199,G223,$B$3:$B$199,B223),),)</f>
        <v>0</v>
      </c>
      <c r="M223" s="382">
        <f>IFERROR(IF(B223="Funkcna poziadavka",VLOOKUP(G223,MODULY_CBA!$B$3:$E$23,3,0),),)</f>
        <v>0</v>
      </c>
      <c r="N223" s="382">
        <f>IFERROR(IF(B223="funkcna poziadavka",VLOOKUP(G223,MODULY_CBA!$B$3:$E$23,2,0),),)</f>
        <v>0</v>
      </c>
      <c r="O223" s="381">
        <f t="shared" si="18"/>
        <v>0</v>
      </c>
      <c r="P223" s="380">
        <f>IFERROR(O223*VLOOKUP(G223,MODULY_CBA!$B$3:$F$23,5,0),)</f>
        <v>0</v>
      </c>
      <c r="Q223" s="482" t="str">
        <f>IFERROR(VLOOKUP(G223,MODULY_CBA!$B$3:$I$23,6,0),"")</f>
        <v/>
      </c>
      <c r="R223" s="385"/>
      <c r="S223" s="385"/>
      <c r="T223" s="385"/>
      <c r="U223" s="385"/>
      <c r="V223" s="385"/>
      <c r="W223" s="385"/>
      <c r="X223" s="385"/>
      <c r="Y223" s="385"/>
      <c r="Z223" s="385"/>
      <c r="AA223" s="385"/>
      <c r="AB223" s="385"/>
      <c r="AC223" s="385"/>
      <c r="AD223" s="385"/>
      <c r="AE223" s="385"/>
      <c r="AF223" s="377"/>
    </row>
    <row r="224" spans="1:32">
      <c r="A224" s="404"/>
      <c r="B224" s="404"/>
      <c r="C224" s="535"/>
      <c r="D224" s="535"/>
      <c r="E224" s="535"/>
      <c r="F224" s="386"/>
      <c r="G224" s="386"/>
      <c r="H224" s="652"/>
      <c r="I224" s="652"/>
      <c r="J224" s="382">
        <f t="shared" si="16"/>
        <v>0</v>
      </c>
      <c r="K224" s="382">
        <f t="shared" si="17"/>
        <v>0</v>
      </c>
      <c r="L224" s="646">
        <f>IFERROR(IF(B224="funkcna poziadavka",VLOOKUP(G224,MODULY_CBA!$B$3:$E$23,4,0)*H224/SUMIFS($H$3:$H$199,$G$3:$G$199,G224,$B$3:$B$199,B224),),)</f>
        <v>0</v>
      </c>
      <c r="M224" s="382">
        <f>IFERROR(IF(B224="Funkcna poziadavka",VLOOKUP(G224,MODULY_CBA!$B$3:$E$23,3,0),),)</f>
        <v>0</v>
      </c>
      <c r="N224" s="382">
        <f>IFERROR(IF(B224="funkcna poziadavka",VLOOKUP(G224,MODULY_CBA!$B$3:$E$23,2,0),),)</f>
        <v>0</v>
      </c>
      <c r="O224" s="381">
        <f t="shared" si="18"/>
        <v>0</v>
      </c>
      <c r="P224" s="380">
        <f>IFERROR(O224*VLOOKUP(G224,MODULY_CBA!$B$3:$F$23,5,0),)</f>
        <v>0</v>
      </c>
      <c r="Q224" s="482" t="str">
        <f>IFERROR(VLOOKUP(G224,MODULY_CBA!$B$3:$I$23,6,0),"")</f>
        <v/>
      </c>
      <c r="R224" s="385"/>
      <c r="S224" s="385"/>
      <c r="T224" s="385"/>
      <c r="U224" s="385"/>
      <c r="V224" s="385"/>
      <c r="W224" s="385"/>
      <c r="X224" s="385"/>
      <c r="Y224" s="385"/>
      <c r="Z224" s="385"/>
      <c r="AA224" s="385"/>
      <c r="AB224" s="385"/>
      <c r="AC224" s="385"/>
      <c r="AD224" s="385"/>
      <c r="AE224" s="385"/>
      <c r="AF224" s="377"/>
    </row>
    <row r="225" spans="1:32">
      <c r="A225" s="404"/>
      <c r="B225" s="404"/>
      <c r="C225" s="535"/>
      <c r="D225" s="535"/>
      <c r="E225" s="535"/>
      <c r="F225" s="386"/>
      <c r="G225" s="386"/>
      <c r="H225" s="652"/>
      <c r="I225" s="652"/>
      <c r="J225" s="382">
        <f t="shared" si="16"/>
        <v>0</v>
      </c>
      <c r="K225" s="382">
        <f t="shared" si="17"/>
        <v>0</v>
      </c>
      <c r="L225" s="646">
        <f>IFERROR(IF(B225="funkcna poziadavka",VLOOKUP(G225,MODULY_CBA!$B$3:$E$23,4,0)*H225/SUMIFS($H$3:$H$199,$G$3:$G$199,G225,$B$3:$B$199,B225),),)</f>
        <v>0</v>
      </c>
      <c r="M225" s="382">
        <f>IFERROR(IF(B225="Funkcna poziadavka",VLOOKUP(G225,MODULY_CBA!$B$3:$E$23,3,0),),)</f>
        <v>0</v>
      </c>
      <c r="N225" s="382">
        <f>IFERROR(IF(B225="funkcna poziadavka",VLOOKUP(G225,MODULY_CBA!$B$3:$E$23,2,0),),)</f>
        <v>0</v>
      </c>
      <c r="O225" s="381">
        <f t="shared" si="18"/>
        <v>0</v>
      </c>
      <c r="P225" s="380">
        <f>IFERROR(O225*VLOOKUP(G225,MODULY_CBA!$B$3:$F$23,5,0),)</f>
        <v>0</v>
      </c>
      <c r="Q225" s="482" t="str">
        <f>IFERROR(VLOOKUP(G225,MODULY_CBA!$B$3:$I$23,6,0),"")</f>
        <v/>
      </c>
      <c r="R225" s="385"/>
      <c r="S225" s="385"/>
      <c r="T225" s="385"/>
      <c r="U225" s="385"/>
      <c r="V225" s="385"/>
      <c r="W225" s="385"/>
      <c r="X225" s="385"/>
      <c r="Y225" s="385"/>
      <c r="Z225" s="385"/>
      <c r="AA225" s="385"/>
      <c r="AB225" s="385"/>
      <c r="AC225" s="385"/>
      <c r="AD225" s="385"/>
      <c r="AE225" s="385"/>
      <c r="AF225" s="377"/>
    </row>
    <row r="226" spans="1:32">
      <c r="A226" s="404"/>
      <c r="B226" s="404"/>
      <c r="C226" s="535"/>
      <c r="D226" s="535"/>
      <c r="E226" s="535"/>
      <c r="F226" s="386"/>
      <c r="G226" s="386"/>
      <c r="H226" s="652"/>
      <c r="I226" s="652"/>
      <c r="J226" s="382">
        <f t="shared" si="16"/>
        <v>0</v>
      </c>
      <c r="K226" s="382">
        <f t="shared" si="17"/>
        <v>0</v>
      </c>
      <c r="L226" s="646">
        <f>IFERROR(IF(B226="funkcna poziadavka",VLOOKUP(G226,MODULY_CBA!$B$3:$E$23,4,0)*H226/SUMIFS($H$3:$H$199,$G$3:$G$199,G226,$B$3:$B$199,B226),),)</f>
        <v>0</v>
      </c>
      <c r="M226" s="382">
        <f>IFERROR(IF(B226="Funkcna poziadavka",VLOOKUP(G226,MODULY_CBA!$B$3:$E$23,3,0),),)</f>
        <v>0</v>
      </c>
      <c r="N226" s="382">
        <f>IFERROR(IF(B226="funkcna poziadavka",VLOOKUP(G226,MODULY_CBA!$B$3:$E$23,2,0),),)</f>
        <v>0</v>
      </c>
      <c r="O226" s="381">
        <f t="shared" si="18"/>
        <v>0</v>
      </c>
      <c r="P226" s="380">
        <f>IFERROR(O226*VLOOKUP(G226,MODULY_CBA!$B$3:$F$23,5,0),)</f>
        <v>0</v>
      </c>
      <c r="Q226" s="482" t="str">
        <f>IFERROR(VLOOKUP(G226,MODULY_CBA!$B$3:$I$23,6,0),"")</f>
        <v/>
      </c>
      <c r="R226" s="385"/>
      <c r="S226" s="385"/>
      <c r="T226" s="385"/>
      <c r="U226" s="385"/>
      <c r="V226" s="385"/>
      <c r="W226" s="385"/>
      <c r="X226" s="385"/>
      <c r="Y226" s="385"/>
      <c r="Z226" s="385"/>
      <c r="AA226" s="385"/>
      <c r="AB226" s="385"/>
      <c r="AC226" s="385"/>
      <c r="AD226" s="385"/>
      <c r="AE226" s="385"/>
      <c r="AF226" s="377"/>
    </row>
    <row r="227" spans="1:32">
      <c r="A227" s="404"/>
      <c r="B227" s="404"/>
      <c r="C227" s="535"/>
      <c r="D227" s="535"/>
      <c r="E227" s="535"/>
      <c r="F227" s="386"/>
      <c r="G227" s="386"/>
      <c r="H227" s="652"/>
      <c r="I227" s="652"/>
      <c r="J227" s="382">
        <f t="shared" si="16"/>
        <v>0</v>
      </c>
      <c r="K227" s="382">
        <f t="shared" si="17"/>
        <v>0</v>
      </c>
      <c r="L227" s="646">
        <f>IFERROR(IF(B227="funkcna poziadavka",VLOOKUP(G227,MODULY_CBA!$B$3:$E$23,4,0)*H227/SUMIFS($H$3:$H$199,$G$3:$G$199,G227,$B$3:$B$199,B227),),)</f>
        <v>0</v>
      </c>
      <c r="M227" s="382">
        <f>IFERROR(IF(B227="Funkcna poziadavka",VLOOKUP(G227,MODULY_CBA!$B$3:$E$23,3,0),),)</f>
        <v>0</v>
      </c>
      <c r="N227" s="382">
        <f>IFERROR(IF(B227="funkcna poziadavka",VLOOKUP(G227,MODULY_CBA!$B$3:$E$23,2,0),),)</f>
        <v>0</v>
      </c>
      <c r="O227" s="381">
        <f t="shared" si="18"/>
        <v>0</v>
      </c>
      <c r="P227" s="380">
        <f>IFERROR(O227*VLOOKUP(G227,MODULY_CBA!$B$3:$F$23,5,0),)</f>
        <v>0</v>
      </c>
      <c r="Q227" s="482" t="str">
        <f>IFERROR(VLOOKUP(G227,MODULY_CBA!$B$3:$I$23,6,0),"")</f>
        <v/>
      </c>
      <c r="R227" s="385"/>
      <c r="S227" s="385"/>
      <c r="T227" s="385"/>
      <c r="U227" s="385"/>
      <c r="V227" s="385"/>
      <c r="W227" s="385"/>
      <c r="X227" s="385"/>
      <c r="Y227" s="385"/>
      <c r="Z227" s="385"/>
      <c r="AA227" s="385"/>
      <c r="AB227" s="385"/>
      <c r="AC227" s="385"/>
      <c r="AD227" s="385"/>
      <c r="AE227" s="385"/>
      <c r="AF227" s="377"/>
    </row>
    <row r="228" spans="1:32">
      <c r="A228" s="404"/>
      <c r="B228" s="404"/>
      <c r="C228" s="535"/>
      <c r="D228" s="535"/>
      <c r="E228" s="535"/>
      <c r="F228" s="386"/>
      <c r="G228" s="386"/>
      <c r="H228" s="652"/>
      <c r="I228" s="652"/>
      <c r="J228" s="382">
        <f t="shared" si="16"/>
        <v>0</v>
      </c>
      <c r="K228" s="382">
        <f t="shared" si="17"/>
        <v>0</v>
      </c>
      <c r="L228" s="646">
        <f>IFERROR(IF(B228="funkcna poziadavka",VLOOKUP(G228,MODULY_CBA!$B$3:$E$23,4,0)*H228/SUMIFS($H$3:$H$199,$G$3:$G$199,G228,$B$3:$B$199,B228),),)</f>
        <v>0</v>
      </c>
      <c r="M228" s="382">
        <f>IFERROR(IF(B228="Funkcna poziadavka",VLOOKUP(G228,MODULY_CBA!$B$3:$E$23,3,0),),)</f>
        <v>0</v>
      </c>
      <c r="N228" s="382">
        <f>IFERROR(IF(B228="funkcna poziadavka",VLOOKUP(G228,MODULY_CBA!$B$3:$E$23,2,0),),)</f>
        <v>0</v>
      </c>
      <c r="O228" s="381">
        <f t="shared" si="18"/>
        <v>0</v>
      </c>
      <c r="P228" s="380">
        <f>IFERROR(O228*VLOOKUP(G228,MODULY_CBA!$B$3:$F$23,5,0),)</f>
        <v>0</v>
      </c>
      <c r="Q228" s="482" t="str">
        <f>IFERROR(VLOOKUP(G228,MODULY_CBA!$B$3:$I$23,6,0),"")</f>
        <v/>
      </c>
      <c r="R228" s="385"/>
      <c r="S228" s="385"/>
      <c r="T228" s="385"/>
      <c r="U228" s="385"/>
      <c r="V228" s="385"/>
      <c r="W228" s="385"/>
      <c r="X228" s="385"/>
      <c r="Y228" s="385"/>
      <c r="Z228" s="385"/>
      <c r="AA228" s="385"/>
      <c r="AB228" s="385"/>
      <c r="AC228" s="385"/>
      <c r="AD228" s="385"/>
      <c r="AE228" s="385"/>
      <c r="AF228" s="377"/>
    </row>
    <row r="229" spans="1:32">
      <c r="A229" s="404"/>
      <c r="B229" s="404"/>
      <c r="C229" s="535"/>
      <c r="D229" s="535"/>
      <c r="E229" s="535"/>
      <c r="F229" s="386"/>
      <c r="G229" s="386"/>
      <c r="H229" s="652"/>
      <c r="I229" s="652"/>
      <c r="J229" s="382">
        <f t="shared" si="16"/>
        <v>0</v>
      </c>
      <c r="K229" s="382">
        <f t="shared" si="17"/>
        <v>0</v>
      </c>
      <c r="L229" s="646">
        <f>IFERROR(IF(B229="funkcna poziadavka",VLOOKUP(G229,MODULY_CBA!$B$3:$E$23,4,0)*H229/SUMIFS($H$3:$H$199,$G$3:$G$199,G229,$B$3:$B$199,B229),),)</f>
        <v>0</v>
      </c>
      <c r="M229" s="382">
        <f>IFERROR(IF(B229="Funkcna poziadavka",VLOOKUP(G229,MODULY_CBA!$B$3:$E$23,3,0),),)</f>
        <v>0</v>
      </c>
      <c r="N229" s="382">
        <f>IFERROR(IF(B229="funkcna poziadavka",VLOOKUP(G229,MODULY_CBA!$B$3:$E$23,2,0),),)</f>
        <v>0</v>
      </c>
      <c r="O229" s="381">
        <f t="shared" si="18"/>
        <v>0</v>
      </c>
      <c r="P229" s="380">
        <f>IFERROR(O229*VLOOKUP(G229,MODULY_CBA!$B$3:$F$23,5,0),)</f>
        <v>0</v>
      </c>
      <c r="Q229" s="482" t="str">
        <f>IFERROR(VLOOKUP(G229,MODULY_CBA!$B$3:$I$23,6,0),"")</f>
        <v/>
      </c>
      <c r="R229" s="385"/>
      <c r="S229" s="385"/>
      <c r="T229" s="385"/>
      <c r="U229" s="385"/>
      <c r="V229" s="385"/>
      <c r="W229" s="385"/>
      <c r="X229" s="385"/>
      <c r="Y229" s="385"/>
      <c r="Z229" s="385"/>
      <c r="AA229" s="385"/>
      <c r="AB229" s="385"/>
      <c r="AC229" s="385"/>
      <c r="AD229" s="385"/>
      <c r="AE229" s="385"/>
      <c r="AF229" s="377"/>
    </row>
    <row r="230" spans="1:32">
      <c r="A230" s="404"/>
      <c r="B230" s="404"/>
      <c r="C230" s="535"/>
      <c r="D230" s="535"/>
      <c r="E230" s="535"/>
      <c r="F230" s="386"/>
      <c r="G230" s="386"/>
      <c r="H230" s="652"/>
      <c r="I230" s="652"/>
      <c r="J230" s="382">
        <f t="shared" si="16"/>
        <v>0</v>
      </c>
      <c r="K230" s="382">
        <f t="shared" si="17"/>
        <v>0</v>
      </c>
      <c r="L230" s="646">
        <f>IFERROR(IF(B230="funkcna poziadavka",VLOOKUP(G230,MODULY_CBA!$B$3:$E$23,4,0)*H230/SUMIFS($H$3:$H$199,$G$3:$G$199,G230,$B$3:$B$199,B230),),)</f>
        <v>0</v>
      </c>
      <c r="M230" s="382">
        <f>IFERROR(IF(B230="Funkcna poziadavka",VLOOKUP(G230,MODULY_CBA!$B$3:$E$23,3,0),),)</f>
        <v>0</v>
      </c>
      <c r="N230" s="382">
        <f>IFERROR(IF(B230="funkcna poziadavka",VLOOKUP(G230,MODULY_CBA!$B$3:$E$23,2,0),),)</f>
        <v>0</v>
      </c>
      <c r="O230" s="381">
        <f t="shared" si="18"/>
        <v>0</v>
      </c>
      <c r="P230" s="380">
        <f>IFERROR(O230*VLOOKUP(G230,MODULY_CBA!$B$3:$F$23,5,0),)</f>
        <v>0</v>
      </c>
      <c r="Q230" s="482" t="str">
        <f>IFERROR(VLOOKUP(G230,MODULY_CBA!$B$3:$I$23,6,0),"")</f>
        <v/>
      </c>
      <c r="R230" s="385"/>
      <c r="S230" s="385"/>
      <c r="T230" s="385"/>
      <c r="U230" s="385"/>
      <c r="V230" s="385"/>
      <c r="W230" s="385"/>
      <c r="X230" s="385"/>
      <c r="Y230" s="385"/>
      <c r="Z230" s="385"/>
      <c r="AA230" s="385"/>
      <c r="AB230" s="385"/>
      <c r="AC230" s="385"/>
      <c r="AD230" s="385"/>
      <c r="AE230" s="385"/>
      <c r="AF230" s="377"/>
    </row>
    <row r="231" spans="1:32">
      <c r="A231" s="404"/>
      <c r="B231" s="404"/>
      <c r="C231" s="535"/>
      <c r="D231" s="535"/>
      <c r="E231" s="535"/>
      <c r="F231" s="386"/>
      <c r="G231" s="386"/>
      <c r="H231" s="652"/>
      <c r="I231" s="652"/>
      <c r="J231" s="382">
        <f t="shared" si="16"/>
        <v>0</v>
      </c>
      <c r="K231" s="382">
        <f t="shared" si="17"/>
        <v>0</v>
      </c>
      <c r="L231" s="646">
        <f>IFERROR(IF(B231="funkcna poziadavka",VLOOKUP(G231,MODULY_CBA!$B$3:$E$23,4,0)*H231/SUMIFS($H$3:$H$199,$G$3:$G$199,G231,$B$3:$B$199,B231),),)</f>
        <v>0</v>
      </c>
      <c r="M231" s="382">
        <f>IFERROR(IF(B231="Funkcna poziadavka",VLOOKUP(G231,MODULY_CBA!$B$3:$E$23,3,0),),)</f>
        <v>0</v>
      </c>
      <c r="N231" s="382">
        <f>IFERROR(IF(B231="funkcna poziadavka",VLOOKUP(G231,MODULY_CBA!$B$3:$E$23,2,0),),)</f>
        <v>0</v>
      </c>
      <c r="O231" s="381">
        <f t="shared" si="18"/>
        <v>0</v>
      </c>
      <c r="P231" s="380">
        <f>IFERROR(O231*VLOOKUP(G231,MODULY_CBA!$B$3:$F$23,5,0),)</f>
        <v>0</v>
      </c>
      <c r="Q231" s="482" t="str">
        <f>IFERROR(VLOOKUP(G231,MODULY_CBA!$B$3:$I$23,6,0),"")</f>
        <v/>
      </c>
      <c r="R231" s="385"/>
      <c r="S231" s="385"/>
      <c r="T231" s="385"/>
      <c r="U231" s="385"/>
      <c r="V231" s="385"/>
      <c r="W231" s="385"/>
      <c r="X231" s="385"/>
      <c r="Y231" s="385"/>
      <c r="Z231" s="385"/>
      <c r="AA231" s="385"/>
      <c r="AB231" s="385"/>
      <c r="AC231" s="385"/>
      <c r="AD231" s="385"/>
      <c r="AE231" s="385"/>
      <c r="AF231" s="377"/>
    </row>
    <row r="232" spans="1:32">
      <c r="A232" s="404"/>
      <c r="B232" s="404"/>
      <c r="C232" s="535"/>
      <c r="D232" s="535"/>
      <c r="E232" s="535"/>
      <c r="F232" s="386"/>
      <c r="G232" s="386"/>
      <c r="H232" s="652"/>
      <c r="I232" s="652"/>
      <c r="J232" s="382">
        <f t="shared" si="16"/>
        <v>0</v>
      </c>
      <c r="K232" s="382">
        <f t="shared" si="17"/>
        <v>0</v>
      </c>
      <c r="L232" s="646">
        <f>IFERROR(IF(B232="funkcna poziadavka",VLOOKUP(G232,MODULY_CBA!$B$3:$E$23,4,0)*H232/SUMIFS($H$3:$H$199,$G$3:$G$199,G232,$B$3:$B$199,B232),),)</f>
        <v>0</v>
      </c>
      <c r="M232" s="382">
        <f>IFERROR(IF(B232="Funkcna poziadavka",VLOOKUP(G232,MODULY_CBA!$B$3:$E$23,3,0),),)</f>
        <v>0</v>
      </c>
      <c r="N232" s="382">
        <f>IFERROR(IF(B232="funkcna poziadavka",VLOOKUP(G232,MODULY_CBA!$B$3:$E$23,2,0),),)</f>
        <v>0</v>
      </c>
      <c r="O232" s="381">
        <f t="shared" si="18"/>
        <v>0</v>
      </c>
      <c r="P232" s="380">
        <f>IFERROR(O232*VLOOKUP(G232,MODULY_CBA!$B$3:$F$23,5,0),)</f>
        <v>0</v>
      </c>
      <c r="Q232" s="482" t="str">
        <f>IFERROR(VLOOKUP(G232,MODULY_CBA!$B$3:$I$23,6,0),"")</f>
        <v/>
      </c>
      <c r="R232" s="385"/>
      <c r="S232" s="385"/>
      <c r="T232" s="385"/>
      <c r="U232" s="385"/>
      <c r="V232" s="385"/>
      <c r="W232" s="385"/>
      <c r="X232" s="385"/>
      <c r="Y232" s="385"/>
      <c r="Z232" s="385"/>
      <c r="AA232" s="385"/>
      <c r="AB232" s="385"/>
      <c r="AC232" s="385"/>
      <c r="AD232" s="385"/>
      <c r="AE232" s="385"/>
      <c r="AF232" s="377"/>
    </row>
    <row r="233" spans="1:32">
      <c r="A233" s="404"/>
      <c r="B233" s="404"/>
      <c r="C233" s="535"/>
      <c r="D233" s="535"/>
      <c r="E233" s="535"/>
      <c r="F233" s="386"/>
      <c r="G233" s="386"/>
      <c r="H233" s="652"/>
      <c r="I233" s="652"/>
      <c r="J233" s="382">
        <f t="shared" si="16"/>
        <v>0</v>
      </c>
      <c r="K233" s="382">
        <f t="shared" si="17"/>
        <v>0</v>
      </c>
      <c r="L233" s="646">
        <f>IFERROR(IF(B233="funkcna poziadavka",VLOOKUP(G233,MODULY_CBA!$B$3:$E$23,4,0)*H233/SUMIFS($H$3:$H$199,$G$3:$G$199,G233,$B$3:$B$199,B233),),)</f>
        <v>0</v>
      </c>
      <c r="M233" s="382">
        <f>IFERROR(IF(B233="Funkcna poziadavka",VLOOKUP(G233,MODULY_CBA!$B$3:$E$23,3,0),),)</f>
        <v>0</v>
      </c>
      <c r="N233" s="382">
        <f>IFERROR(IF(B233="funkcna poziadavka",VLOOKUP(G233,MODULY_CBA!$B$3:$E$23,2,0),),)</f>
        <v>0</v>
      </c>
      <c r="O233" s="381">
        <f t="shared" si="18"/>
        <v>0</v>
      </c>
      <c r="P233" s="380">
        <f>IFERROR(O233*VLOOKUP(G233,MODULY_CBA!$B$3:$F$23,5,0),)</f>
        <v>0</v>
      </c>
      <c r="Q233" s="482" t="str">
        <f>IFERROR(VLOOKUP(G233,MODULY_CBA!$B$3:$I$23,6,0),"")</f>
        <v/>
      </c>
      <c r="R233" s="385"/>
      <c r="S233" s="385"/>
      <c r="T233" s="385"/>
      <c r="U233" s="385"/>
      <c r="V233" s="385"/>
      <c r="W233" s="385"/>
      <c r="X233" s="385"/>
      <c r="Y233" s="385"/>
      <c r="Z233" s="385"/>
      <c r="AA233" s="385"/>
      <c r="AB233" s="385"/>
      <c r="AC233" s="385"/>
      <c r="AD233" s="385"/>
      <c r="AE233" s="385"/>
      <c r="AF233" s="377"/>
    </row>
    <row r="234" spans="1:32">
      <c r="A234" s="404"/>
      <c r="B234" s="404"/>
      <c r="C234" s="535"/>
      <c r="D234" s="535"/>
      <c r="E234" s="535"/>
      <c r="F234" s="386"/>
      <c r="G234" s="386"/>
      <c r="H234" s="652"/>
      <c r="I234" s="652"/>
      <c r="J234" s="382">
        <f t="shared" ref="J234:J297" si="19">IF(ISNUMBER(H234),H234,)</f>
        <v>0</v>
      </c>
      <c r="K234" s="382">
        <f t="shared" ref="K234:K297" si="20">H234*I234</f>
        <v>0</v>
      </c>
      <c r="L234" s="646">
        <f>IFERROR(IF(B234="funkcna poziadavka",VLOOKUP(G234,MODULY_CBA!$B$3:$E$23,4,0)*H234/SUMIFS($H$3:$H$199,$G$3:$G$199,G234,$B$3:$B$199,B234),),)</f>
        <v>0</v>
      </c>
      <c r="M234" s="382">
        <f>IFERROR(IF(B234="Funkcna poziadavka",VLOOKUP(G234,MODULY_CBA!$B$3:$E$23,3,0),),)</f>
        <v>0</v>
      </c>
      <c r="N234" s="382">
        <f>IFERROR(IF(B234="funkcna poziadavka",VLOOKUP(G234,MODULY_CBA!$B$3:$E$23,2,0),),)</f>
        <v>0</v>
      </c>
      <c r="O234" s="381">
        <f t="shared" ref="O234:O297" si="21">(K234+L234)*M234*N234</f>
        <v>0</v>
      </c>
      <c r="P234" s="380">
        <f>IFERROR(O234*VLOOKUP(G234,MODULY_CBA!$B$3:$F$23,5,0),)</f>
        <v>0</v>
      </c>
      <c r="Q234" s="482" t="str">
        <f>IFERROR(VLOOKUP(G234,MODULY_CBA!$B$3:$I$23,6,0),"")</f>
        <v/>
      </c>
      <c r="R234" s="385"/>
      <c r="S234" s="385"/>
      <c r="T234" s="385"/>
      <c r="U234" s="385"/>
      <c r="V234" s="385"/>
      <c r="W234" s="385"/>
      <c r="X234" s="385"/>
      <c r="Y234" s="385"/>
      <c r="Z234" s="385"/>
      <c r="AA234" s="385"/>
      <c r="AB234" s="385"/>
      <c r="AC234" s="385"/>
      <c r="AD234" s="385"/>
      <c r="AE234" s="385"/>
      <c r="AF234" s="377"/>
    </row>
    <row r="235" spans="1:32">
      <c r="A235" s="404"/>
      <c r="B235" s="404"/>
      <c r="C235" s="535"/>
      <c r="D235" s="535"/>
      <c r="E235" s="535"/>
      <c r="F235" s="386"/>
      <c r="G235" s="386"/>
      <c r="H235" s="652"/>
      <c r="I235" s="652"/>
      <c r="J235" s="382">
        <f t="shared" si="19"/>
        <v>0</v>
      </c>
      <c r="K235" s="382">
        <f t="shared" si="20"/>
        <v>0</v>
      </c>
      <c r="L235" s="646">
        <f>IFERROR(IF(B235="funkcna poziadavka",VLOOKUP(G235,MODULY_CBA!$B$3:$E$23,4,0)*H235/SUMIFS($H$3:$H$199,$G$3:$G$199,G235,$B$3:$B$199,B235),),)</f>
        <v>0</v>
      </c>
      <c r="M235" s="382">
        <f>IFERROR(IF(B235="Funkcna poziadavka",VLOOKUP(G235,MODULY_CBA!$B$3:$E$23,3,0),),)</f>
        <v>0</v>
      </c>
      <c r="N235" s="382">
        <f>IFERROR(IF(B235="funkcna poziadavka",VLOOKUP(G235,MODULY_CBA!$B$3:$E$23,2,0),),)</f>
        <v>0</v>
      </c>
      <c r="O235" s="381">
        <f t="shared" si="21"/>
        <v>0</v>
      </c>
      <c r="P235" s="380">
        <f>IFERROR(O235*VLOOKUP(G235,MODULY_CBA!$B$3:$F$23,5,0),)</f>
        <v>0</v>
      </c>
      <c r="Q235" s="482" t="str">
        <f>IFERROR(VLOOKUP(G235,MODULY_CBA!$B$3:$I$23,6,0),"")</f>
        <v/>
      </c>
      <c r="R235" s="385"/>
      <c r="S235" s="385"/>
      <c r="T235" s="385"/>
      <c r="U235" s="385"/>
      <c r="V235" s="385"/>
      <c r="W235" s="385"/>
      <c r="X235" s="385"/>
      <c r="Y235" s="385"/>
      <c r="Z235" s="385"/>
      <c r="AA235" s="385"/>
      <c r="AB235" s="385"/>
      <c r="AC235" s="385"/>
      <c r="AD235" s="385"/>
      <c r="AE235" s="385"/>
      <c r="AF235" s="377"/>
    </row>
    <row r="236" spans="1:32">
      <c r="A236" s="404"/>
      <c r="B236" s="404"/>
      <c r="C236" s="535"/>
      <c r="D236" s="535"/>
      <c r="E236" s="535"/>
      <c r="F236" s="386"/>
      <c r="G236" s="386"/>
      <c r="H236" s="652"/>
      <c r="I236" s="652"/>
      <c r="J236" s="382">
        <f t="shared" si="19"/>
        <v>0</v>
      </c>
      <c r="K236" s="382">
        <f t="shared" si="20"/>
        <v>0</v>
      </c>
      <c r="L236" s="646">
        <f>IFERROR(IF(B236="funkcna poziadavka",VLOOKUP(G236,MODULY_CBA!$B$3:$E$23,4,0)*H236/SUMIFS($H$3:$H$199,$G$3:$G$199,G236,$B$3:$B$199,B236),),)</f>
        <v>0</v>
      </c>
      <c r="M236" s="382">
        <f>IFERROR(IF(B236="Funkcna poziadavka",VLOOKUP(G236,MODULY_CBA!$B$3:$E$23,3,0),),)</f>
        <v>0</v>
      </c>
      <c r="N236" s="382">
        <f>IFERROR(IF(B236="funkcna poziadavka",VLOOKUP(G236,MODULY_CBA!$B$3:$E$23,2,0),),)</f>
        <v>0</v>
      </c>
      <c r="O236" s="381">
        <f t="shared" si="21"/>
        <v>0</v>
      </c>
      <c r="P236" s="380">
        <f>IFERROR(O236*VLOOKUP(G236,MODULY_CBA!$B$3:$F$23,5,0),)</f>
        <v>0</v>
      </c>
      <c r="Q236" s="482" t="str">
        <f>IFERROR(VLOOKUP(G236,MODULY_CBA!$B$3:$I$23,6,0),"")</f>
        <v/>
      </c>
      <c r="R236" s="385"/>
      <c r="S236" s="385"/>
      <c r="T236" s="385"/>
      <c r="U236" s="385"/>
      <c r="V236" s="385"/>
      <c r="W236" s="385"/>
      <c r="X236" s="385"/>
      <c r="Y236" s="385"/>
      <c r="Z236" s="385"/>
      <c r="AA236" s="385"/>
      <c r="AB236" s="385"/>
      <c r="AC236" s="385"/>
      <c r="AD236" s="385"/>
      <c r="AE236" s="385"/>
      <c r="AF236" s="377"/>
    </row>
    <row r="237" spans="1:32">
      <c r="A237" s="404"/>
      <c r="B237" s="404"/>
      <c r="C237" s="535"/>
      <c r="D237" s="535"/>
      <c r="E237" s="535"/>
      <c r="F237" s="386"/>
      <c r="G237" s="386"/>
      <c r="H237" s="652"/>
      <c r="I237" s="652"/>
      <c r="J237" s="382">
        <f t="shared" si="19"/>
        <v>0</v>
      </c>
      <c r="K237" s="382">
        <f t="shared" si="20"/>
        <v>0</v>
      </c>
      <c r="L237" s="646">
        <f>IFERROR(IF(B237="funkcna poziadavka",VLOOKUP(G237,MODULY_CBA!$B$3:$E$23,4,0)*H237/SUMIFS($H$3:$H$199,$G$3:$G$199,G237,$B$3:$B$199,B237),),)</f>
        <v>0</v>
      </c>
      <c r="M237" s="382">
        <f>IFERROR(IF(B237="Funkcna poziadavka",VLOOKUP(G237,MODULY_CBA!$B$3:$E$23,3,0),),)</f>
        <v>0</v>
      </c>
      <c r="N237" s="382">
        <f>IFERROR(IF(B237="funkcna poziadavka",VLOOKUP(G237,MODULY_CBA!$B$3:$E$23,2,0),),)</f>
        <v>0</v>
      </c>
      <c r="O237" s="381">
        <f t="shared" si="21"/>
        <v>0</v>
      </c>
      <c r="P237" s="380">
        <f>IFERROR(O237*VLOOKUP(G237,MODULY_CBA!$B$3:$F$23,5,0),)</f>
        <v>0</v>
      </c>
      <c r="Q237" s="482" t="str">
        <f>IFERROR(VLOOKUP(G237,MODULY_CBA!$B$3:$I$23,6,0),"")</f>
        <v/>
      </c>
      <c r="R237" s="385"/>
      <c r="S237" s="385"/>
      <c r="T237" s="385"/>
      <c r="U237" s="385"/>
      <c r="V237" s="385"/>
      <c r="W237" s="385"/>
      <c r="X237" s="385"/>
      <c r="Y237" s="385"/>
      <c r="Z237" s="385"/>
      <c r="AA237" s="385"/>
      <c r="AB237" s="385"/>
      <c r="AC237" s="385"/>
      <c r="AD237" s="385"/>
      <c r="AE237" s="385"/>
      <c r="AF237" s="377"/>
    </row>
    <row r="238" spans="1:32">
      <c r="A238" s="404"/>
      <c r="B238" s="404"/>
      <c r="C238" s="535"/>
      <c r="D238" s="535"/>
      <c r="E238" s="535"/>
      <c r="F238" s="386"/>
      <c r="G238" s="386"/>
      <c r="H238" s="652"/>
      <c r="I238" s="652"/>
      <c r="J238" s="382">
        <f t="shared" si="19"/>
        <v>0</v>
      </c>
      <c r="K238" s="382">
        <f t="shared" si="20"/>
        <v>0</v>
      </c>
      <c r="L238" s="646">
        <f>IFERROR(IF(B238="funkcna poziadavka",VLOOKUP(G238,MODULY_CBA!$B$3:$E$23,4,0)*H238/SUMIFS($H$3:$H$199,$G$3:$G$199,G238,$B$3:$B$199,B238),),)</f>
        <v>0</v>
      </c>
      <c r="M238" s="382">
        <f>IFERROR(IF(B238="Funkcna poziadavka",VLOOKUP(G238,MODULY_CBA!$B$3:$E$23,3,0),),)</f>
        <v>0</v>
      </c>
      <c r="N238" s="382">
        <f>IFERROR(IF(B238="funkcna poziadavka",VLOOKUP(G238,MODULY_CBA!$B$3:$E$23,2,0),),)</f>
        <v>0</v>
      </c>
      <c r="O238" s="381">
        <f t="shared" si="21"/>
        <v>0</v>
      </c>
      <c r="P238" s="380">
        <f>IFERROR(O238*VLOOKUP(G238,MODULY_CBA!$B$3:$F$23,5,0),)</f>
        <v>0</v>
      </c>
      <c r="Q238" s="482" t="str">
        <f>IFERROR(VLOOKUP(G238,MODULY_CBA!$B$3:$I$23,6,0),"")</f>
        <v/>
      </c>
      <c r="R238" s="385"/>
      <c r="S238" s="385"/>
      <c r="T238" s="385"/>
      <c r="U238" s="385"/>
      <c r="V238" s="385"/>
      <c r="W238" s="385"/>
      <c r="X238" s="385"/>
      <c r="Y238" s="385"/>
      <c r="Z238" s="385"/>
      <c r="AA238" s="385"/>
      <c r="AB238" s="385"/>
      <c r="AC238" s="385"/>
      <c r="AD238" s="385"/>
      <c r="AE238" s="385"/>
      <c r="AF238" s="377"/>
    </row>
    <row r="239" spans="1:32">
      <c r="A239" s="404"/>
      <c r="B239" s="404"/>
      <c r="C239" s="535"/>
      <c r="D239" s="535"/>
      <c r="E239" s="535"/>
      <c r="F239" s="386"/>
      <c r="G239" s="386"/>
      <c r="H239" s="652"/>
      <c r="I239" s="652"/>
      <c r="J239" s="382">
        <f t="shared" si="19"/>
        <v>0</v>
      </c>
      <c r="K239" s="382">
        <f t="shared" si="20"/>
        <v>0</v>
      </c>
      <c r="L239" s="646">
        <f>IFERROR(IF(B239="funkcna poziadavka",VLOOKUP(G239,MODULY_CBA!$B$3:$E$23,4,0)*H239/SUMIFS($H$3:$H$199,$G$3:$G$199,G239,$B$3:$B$199,B239),),)</f>
        <v>0</v>
      </c>
      <c r="M239" s="382">
        <f>IFERROR(IF(B239="Funkcna poziadavka",VLOOKUP(G239,MODULY_CBA!$B$3:$E$23,3,0),),)</f>
        <v>0</v>
      </c>
      <c r="N239" s="382">
        <f>IFERROR(IF(B239="funkcna poziadavka",VLOOKUP(G239,MODULY_CBA!$B$3:$E$23,2,0),),)</f>
        <v>0</v>
      </c>
      <c r="O239" s="381">
        <f t="shared" si="21"/>
        <v>0</v>
      </c>
      <c r="P239" s="380">
        <f>IFERROR(O239*VLOOKUP(G239,MODULY_CBA!$B$3:$F$23,5,0),)</f>
        <v>0</v>
      </c>
      <c r="Q239" s="482" t="str">
        <f>IFERROR(VLOOKUP(G239,MODULY_CBA!$B$3:$I$23,6,0),"")</f>
        <v/>
      </c>
      <c r="R239" s="385"/>
      <c r="S239" s="385"/>
      <c r="T239" s="385"/>
      <c r="U239" s="385"/>
      <c r="V239" s="385"/>
      <c r="W239" s="385"/>
      <c r="X239" s="385"/>
      <c r="Y239" s="385"/>
      <c r="Z239" s="385"/>
      <c r="AA239" s="385"/>
      <c r="AB239" s="385"/>
      <c r="AC239" s="385"/>
      <c r="AD239" s="385"/>
      <c r="AE239" s="385"/>
      <c r="AF239" s="377"/>
    </row>
    <row r="240" spans="1:32">
      <c r="A240" s="404"/>
      <c r="B240" s="404"/>
      <c r="C240" s="535"/>
      <c r="D240" s="535"/>
      <c r="E240" s="535"/>
      <c r="F240" s="386"/>
      <c r="G240" s="386"/>
      <c r="H240" s="652"/>
      <c r="I240" s="652"/>
      <c r="J240" s="382">
        <f t="shared" si="19"/>
        <v>0</v>
      </c>
      <c r="K240" s="382">
        <f t="shared" si="20"/>
        <v>0</v>
      </c>
      <c r="L240" s="646">
        <f>IFERROR(IF(B240="funkcna poziadavka",VLOOKUP(G240,MODULY_CBA!$B$3:$E$23,4,0)*H240/SUMIFS($H$3:$H$199,$G$3:$G$199,G240,$B$3:$B$199,B240),),)</f>
        <v>0</v>
      </c>
      <c r="M240" s="382">
        <f>IFERROR(IF(B240="Funkcna poziadavka",VLOOKUP(G240,MODULY_CBA!$B$3:$E$23,3,0),),)</f>
        <v>0</v>
      </c>
      <c r="N240" s="382">
        <f>IFERROR(IF(B240="funkcna poziadavka",VLOOKUP(G240,MODULY_CBA!$B$3:$E$23,2,0),),)</f>
        <v>0</v>
      </c>
      <c r="O240" s="381">
        <f t="shared" si="21"/>
        <v>0</v>
      </c>
      <c r="P240" s="380">
        <f>IFERROR(O240*VLOOKUP(G240,MODULY_CBA!$B$3:$F$23,5,0),)</f>
        <v>0</v>
      </c>
      <c r="Q240" s="482" t="str">
        <f>IFERROR(VLOOKUP(G240,MODULY_CBA!$B$3:$I$23,6,0),"")</f>
        <v/>
      </c>
      <c r="R240" s="385"/>
      <c r="S240" s="385"/>
      <c r="T240" s="385"/>
      <c r="U240" s="385"/>
      <c r="V240" s="385"/>
      <c r="W240" s="385"/>
      <c r="X240" s="385"/>
      <c r="Y240" s="385"/>
      <c r="Z240" s="385"/>
      <c r="AA240" s="385"/>
      <c r="AB240" s="385"/>
      <c r="AC240" s="385"/>
      <c r="AD240" s="385"/>
      <c r="AE240" s="385"/>
      <c r="AF240" s="377"/>
    </row>
    <row r="241" spans="1:32">
      <c r="A241" s="404"/>
      <c r="B241" s="404"/>
      <c r="C241" s="535"/>
      <c r="D241" s="535"/>
      <c r="E241" s="535"/>
      <c r="F241" s="386"/>
      <c r="G241" s="386"/>
      <c r="H241" s="652"/>
      <c r="I241" s="652"/>
      <c r="J241" s="382">
        <f t="shared" si="19"/>
        <v>0</v>
      </c>
      <c r="K241" s="382">
        <f t="shared" si="20"/>
        <v>0</v>
      </c>
      <c r="L241" s="646">
        <f>IFERROR(IF(B241="funkcna poziadavka",VLOOKUP(G241,MODULY_CBA!$B$3:$E$23,4,0)*H241/SUMIFS($H$3:$H$199,$G$3:$G$199,G241,$B$3:$B$199,B241),),)</f>
        <v>0</v>
      </c>
      <c r="M241" s="382">
        <f>IFERROR(IF(B241="Funkcna poziadavka",VLOOKUP(G241,MODULY_CBA!$B$3:$E$23,3,0),),)</f>
        <v>0</v>
      </c>
      <c r="N241" s="382">
        <f>IFERROR(IF(B241="funkcna poziadavka",VLOOKUP(G241,MODULY_CBA!$B$3:$E$23,2,0),),)</f>
        <v>0</v>
      </c>
      <c r="O241" s="381">
        <f t="shared" si="21"/>
        <v>0</v>
      </c>
      <c r="P241" s="380">
        <f>IFERROR(O241*VLOOKUP(G241,MODULY_CBA!$B$3:$F$23,5,0),)</f>
        <v>0</v>
      </c>
      <c r="Q241" s="482" t="str">
        <f>IFERROR(VLOOKUP(G241,MODULY_CBA!$B$3:$I$23,6,0),"")</f>
        <v/>
      </c>
      <c r="R241" s="385"/>
      <c r="S241" s="385"/>
      <c r="T241" s="385"/>
      <c r="U241" s="385"/>
      <c r="V241" s="385"/>
      <c r="W241" s="385"/>
      <c r="X241" s="385"/>
      <c r="Y241" s="385"/>
      <c r="Z241" s="385"/>
      <c r="AA241" s="385"/>
      <c r="AB241" s="385"/>
      <c r="AC241" s="385"/>
      <c r="AD241" s="385"/>
      <c r="AE241" s="385"/>
      <c r="AF241" s="377"/>
    </row>
    <row r="242" spans="1:32">
      <c r="A242" s="404"/>
      <c r="B242" s="404"/>
      <c r="C242" s="535"/>
      <c r="D242" s="535"/>
      <c r="E242" s="535"/>
      <c r="F242" s="386"/>
      <c r="G242" s="386"/>
      <c r="H242" s="652"/>
      <c r="I242" s="652"/>
      <c r="J242" s="382">
        <f t="shared" si="19"/>
        <v>0</v>
      </c>
      <c r="K242" s="382">
        <f t="shared" si="20"/>
        <v>0</v>
      </c>
      <c r="L242" s="646">
        <f>IFERROR(IF(B242="funkcna poziadavka",VLOOKUP(G242,MODULY_CBA!$B$3:$E$23,4,0)*H242/SUMIFS($H$3:$H$199,$G$3:$G$199,G242,$B$3:$B$199,B242),),)</f>
        <v>0</v>
      </c>
      <c r="M242" s="382">
        <f>IFERROR(IF(B242="Funkcna poziadavka",VLOOKUP(G242,MODULY_CBA!$B$3:$E$23,3,0),),)</f>
        <v>0</v>
      </c>
      <c r="N242" s="382">
        <f>IFERROR(IF(B242="funkcna poziadavka",VLOOKUP(G242,MODULY_CBA!$B$3:$E$23,2,0),),)</f>
        <v>0</v>
      </c>
      <c r="O242" s="381">
        <f t="shared" si="21"/>
        <v>0</v>
      </c>
      <c r="P242" s="380">
        <f>IFERROR(O242*VLOOKUP(G242,MODULY_CBA!$B$3:$F$23,5,0),)</f>
        <v>0</v>
      </c>
      <c r="Q242" s="482" t="str">
        <f>IFERROR(VLOOKUP(G242,MODULY_CBA!$B$3:$I$23,6,0),"")</f>
        <v/>
      </c>
      <c r="R242" s="385"/>
      <c r="S242" s="385"/>
      <c r="T242" s="385"/>
      <c r="U242" s="385"/>
      <c r="V242" s="385"/>
      <c r="W242" s="385"/>
      <c r="X242" s="385"/>
      <c r="Y242" s="385"/>
      <c r="Z242" s="385"/>
      <c r="AA242" s="385"/>
      <c r="AB242" s="385"/>
      <c r="AC242" s="385"/>
      <c r="AD242" s="385"/>
      <c r="AE242" s="385"/>
      <c r="AF242" s="377"/>
    </row>
    <row r="243" spans="1:32">
      <c r="A243" s="404"/>
      <c r="B243" s="404"/>
      <c r="C243" s="535"/>
      <c r="D243" s="535"/>
      <c r="E243" s="535"/>
      <c r="F243" s="386"/>
      <c r="G243" s="386"/>
      <c r="H243" s="652"/>
      <c r="I243" s="652"/>
      <c r="J243" s="382">
        <f t="shared" si="19"/>
        <v>0</v>
      </c>
      <c r="K243" s="382">
        <f t="shared" si="20"/>
        <v>0</v>
      </c>
      <c r="L243" s="646">
        <f>IFERROR(IF(B243="funkcna poziadavka",VLOOKUP(G243,MODULY_CBA!$B$3:$E$23,4,0)*H243/SUMIFS($H$3:$H$199,$G$3:$G$199,G243,$B$3:$B$199,B243),),)</f>
        <v>0</v>
      </c>
      <c r="M243" s="382">
        <f>IFERROR(IF(B243="Funkcna poziadavka",VLOOKUP(G243,MODULY_CBA!$B$3:$E$23,3,0),),)</f>
        <v>0</v>
      </c>
      <c r="N243" s="382">
        <f>IFERROR(IF(B243="funkcna poziadavka",VLOOKUP(G243,MODULY_CBA!$B$3:$E$23,2,0),),)</f>
        <v>0</v>
      </c>
      <c r="O243" s="381">
        <f t="shared" si="21"/>
        <v>0</v>
      </c>
      <c r="P243" s="380">
        <f>IFERROR(O243*VLOOKUP(G243,MODULY_CBA!$B$3:$F$23,5,0),)</f>
        <v>0</v>
      </c>
      <c r="Q243" s="482" t="str">
        <f>IFERROR(VLOOKUP(G243,MODULY_CBA!$B$3:$I$23,6,0),"")</f>
        <v/>
      </c>
      <c r="R243" s="385"/>
      <c r="S243" s="385"/>
      <c r="T243" s="385"/>
      <c r="U243" s="385"/>
      <c r="V243" s="385"/>
      <c r="W243" s="385"/>
      <c r="X243" s="385"/>
      <c r="Y243" s="385"/>
      <c r="Z243" s="385"/>
      <c r="AA243" s="385"/>
      <c r="AB243" s="385"/>
      <c r="AC243" s="385"/>
      <c r="AD243" s="385"/>
      <c r="AE243" s="385"/>
      <c r="AF243" s="377"/>
    </row>
    <row r="244" spans="1:32">
      <c r="A244" s="404"/>
      <c r="B244" s="404"/>
      <c r="C244" s="535"/>
      <c r="D244" s="535"/>
      <c r="E244" s="535"/>
      <c r="F244" s="386"/>
      <c r="G244" s="386"/>
      <c r="H244" s="652"/>
      <c r="I244" s="652"/>
      <c r="J244" s="382">
        <f t="shared" si="19"/>
        <v>0</v>
      </c>
      <c r="K244" s="382">
        <f t="shared" si="20"/>
        <v>0</v>
      </c>
      <c r="L244" s="646">
        <f>IFERROR(IF(B244="funkcna poziadavka",VLOOKUP(G244,MODULY_CBA!$B$3:$E$23,4,0)*H244/SUMIFS($H$3:$H$199,$G$3:$G$199,G244,$B$3:$B$199,B244),),)</f>
        <v>0</v>
      </c>
      <c r="M244" s="382">
        <f>IFERROR(IF(B244="Funkcna poziadavka",VLOOKUP(G244,MODULY_CBA!$B$3:$E$23,3,0),),)</f>
        <v>0</v>
      </c>
      <c r="N244" s="382">
        <f>IFERROR(IF(B244="funkcna poziadavka",VLOOKUP(G244,MODULY_CBA!$B$3:$E$23,2,0),),)</f>
        <v>0</v>
      </c>
      <c r="O244" s="381">
        <f t="shared" si="21"/>
        <v>0</v>
      </c>
      <c r="P244" s="380">
        <f>IFERROR(O244*VLOOKUP(G244,MODULY_CBA!$B$3:$F$23,5,0),)</f>
        <v>0</v>
      </c>
      <c r="Q244" s="482" t="str">
        <f>IFERROR(VLOOKUP(G244,MODULY_CBA!$B$3:$I$23,6,0),"")</f>
        <v/>
      </c>
      <c r="R244" s="385"/>
      <c r="S244" s="385"/>
      <c r="T244" s="385"/>
      <c r="U244" s="385"/>
      <c r="V244" s="385"/>
      <c r="W244" s="385"/>
      <c r="X244" s="385"/>
      <c r="Y244" s="385"/>
      <c r="Z244" s="385"/>
      <c r="AA244" s="385"/>
      <c r="AB244" s="385"/>
      <c r="AC244" s="385"/>
      <c r="AD244" s="385"/>
      <c r="AE244" s="385"/>
      <c r="AF244" s="377"/>
    </row>
    <row r="245" spans="1:32">
      <c r="A245" s="404"/>
      <c r="B245" s="404"/>
      <c r="C245" s="535"/>
      <c r="D245" s="535"/>
      <c r="E245" s="535"/>
      <c r="F245" s="386"/>
      <c r="G245" s="386"/>
      <c r="H245" s="652"/>
      <c r="I245" s="652"/>
      <c r="J245" s="382">
        <f t="shared" si="19"/>
        <v>0</v>
      </c>
      <c r="K245" s="382">
        <f t="shared" si="20"/>
        <v>0</v>
      </c>
      <c r="L245" s="646">
        <f>IFERROR(IF(B245="funkcna poziadavka",VLOOKUP(G245,MODULY_CBA!$B$3:$E$23,4,0)*H245/SUMIFS($H$3:$H$199,$G$3:$G$199,G245,$B$3:$B$199,B245),),)</f>
        <v>0</v>
      </c>
      <c r="M245" s="382">
        <f>IFERROR(IF(B245="Funkcna poziadavka",VLOOKUP(G245,MODULY_CBA!$B$3:$E$23,3,0),),)</f>
        <v>0</v>
      </c>
      <c r="N245" s="382">
        <f>IFERROR(IF(B245="funkcna poziadavka",VLOOKUP(G245,MODULY_CBA!$B$3:$E$23,2,0),),)</f>
        <v>0</v>
      </c>
      <c r="O245" s="381">
        <f t="shared" si="21"/>
        <v>0</v>
      </c>
      <c r="P245" s="380">
        <f>IFERROR(O245*VLOOKUP(G245,MODULY_CBA!$B$3:$F$23,5,0),)</f>
        <v>0</v>
      </c>
      <c r="Q245" s="482" t="str">
        <f>IFERROR(VLOOKUP(G245,MODULY_CBA!$B$3:$I$23,6,0),"")</f>
        <v/>
      </c>
      <c r="R245" s="385"/>
      <c r="S245" s="385"/>
      <c r="T245" s="385"/>
      <c r="U245" s="385"/>
      <c r="V245" s="385"/>
      <c r="W245" s="385"/>
      <c r="X245" s="385"/>
      <c r="Y245" s="385"/>
      <c r="Z245" s="385"/>
      <c r="AA245" s="385"/>
      <c r="AB245" s="385"/>
      <c r="AC245" s="385"/>
      <c r="AD245" s="385"/>
      <c r="AE245" s="385"/>
      <c r="AF245" s="377"/>
    </row>
    <row r="246" spans="1:32">
      <c r="A246" s="404"/>
      <c r="B246" s="404"/>
      <c r="C246" s="535"/>
      <c r="D246" s="535"/>
      <c r="E246" s="535"/>
      <c r="F246" s="386"/>
      <c r="G246" s="386"/>
      <c r="H246" s="652"/>
      <c r="I246" s="652"/>
      <c r="J246" s="382">
        <f t="shared" si="19"/>
        <v>0</v>
      </c>
      <c r="K246" s="382">
        <f t="shared" si="20"/>
        <v>0</v>
      </c>
      <c r="L246" s="646">
        <f>IFERROR(IF(B246="funkcna poziadavka",VLOOKUP(G246,MODULY_CBA!$B$3:$E$23,4,0)*H246/SUMIFS($H$3:$H$199,$G$3:$G$199,G246,$B$3:$B$199,B246),),)</f>
        <v>0</v>
      </c>
      <c r="M246" s="382">
        <f>IFERROR(IF(B246="Funkcna poziadavka",VLOOKUP(G246,MODULY_CBA!$B$3:$E$23,3,0),),)</f>
        <v>0</v>
      </c>
      <c r="N246" s="382">
        <f>IFERROR(IF(B246="funkcna poziadavka",VLOOKUP(G246,MODULY_CBA!$B$3:$E$23,2,0),),)</f>
        <v>0</v>
      </c>
      <c r="O246" s="381">
        <f t="shared" si="21"/>
        <v>0</v>
      </c>
      <c r="P246" s="380">
        <f>IFERROR(O246*VLOOKUP(G246,MODULY_CBA!$B$3:$F$23,5,0),)</f>
        <v>0</v>
      </c>
      <c r="Q246" s="482" t="str">
        <f>IFERROR(VLOOKUP(G246,MODULY_CBA!$B$3:$I$23,6,0),"")</f>
        <v/>
      </c>
      <c r="R246" s="385"/>
      <c r="S246" s="385"/>
      <c r="T246" s="385"/>
      <c r="U246" s="385"/>
      <c r="V246" s="385"/>
      <c r="W246" s="385"/>
      <c r="X246" s="385"/>
      <c r="Y246" s="385"/>
      <c r="Z246" s="385"/>
      <c r="AA246" s="385"/>
      <c r="AB246" s="385"/>
      <c r="AC246" s="385"/>
      <c r="AD246" s="385"/>
      <c r="AE246" s="385"/>
      <c r="AF246" s="377"/>
    </row>
    <row r="247" spans="1:32">
      <c r="A247" s="404"/>
      <c r="B247" s="404"/>
      <c r="C247" s="535"/>
      <c r="D247" s="535"/>
      <c r="E247" s="535"/>
      <c r="F247" s="386"/>
      <c r="G247" s="386"/>
      <c r="H247" s="652"/>
      <c r="I247" s="652"/>
      <c r="J247" s="382">
        <f t="shared" si="19"/>
        <v>0</v>
      </c>
      <c r="K247" s="382">
        <f t="shared" si="20"/>
        <v>0</v>
      </c>
      <c r="L247" s="646">
        <f>IFERROR(IF(B247="funkcna poziadavka",VLOOKUP(G247,MODULY_CBA!$B$3:$E$23,4,0)*H247/SUMIFS($H$3:$H$199,$G$3:$G$199,G247,$B$3:$B$199,B247),),)</f>
        <v>0</v>
      </c>
      <c r="M247" s="382">
        <f>IFERROR(IF(B247="Funkcna poziadavka",VLOOKUP(G247,MODULY_CBA!$B$3:$E$23,3,0),),)</f>
        <v>0</v>
      </c>
      <c r="N247" s="382">
        <f>IFERROR(IF(B247="funkcna poziadavka",VLOOKUP(G247,MODULY_CBA!$B$3:$E$23,2,0),),)</f>
        <v>0</v>
      </c>
      <c r="O247" s="381">
        <f t="shared" si="21"/>
        <v>0</v>
      </c>
      <c r="P247" s="380">
        <f>IFERROR(O247*VLOOKUP(G247,MODULY_CBA!$B$3:$F$23,5,0),)</f>
        <v>0</v>
      </c>
      <c r="Q247" s="482" t="str">
        <f>IFERROR(VLOOKUP(G247,MODULY_CBA!$B$3:$I$23,6,0),"")</f>
        <v/>
      </c>
      <c r="R247" s="385"/>
      <c r="S247" s="385"/>
      <c r="T247" s="385"/>
      <c r="U247" s="385"/>
      <c r="V247" s="385"/>
      <c r="W247" s="385"/>
      <c r="X247" s="385"/>
      <c r="Y247" s="385"/>
      <c r="Z247" s="385"/>
      <c r="AA247" s="385"/>
      <c r="AB247" s="385"/>
      <c r="AC247" s="385"/>
      <c r="AD247" s="385"/>
      <c r="AE247" s="385"/>
      <c r="AF247" s="377"/>
    </row>
    <row r="248" spans="1:32">
      <c r="A248" s="404"/>
      <c r="B248" s="404"/>
      <c r="C248" s="535"/>
      <c r="D248" s="535"/>
      <c r="E248" s="535"/>
      <c r="F248" s="386"/>
      <c r="G248" s="386"/>
      <c r="H248" s="652"/>
      <c r="I248" s="652"/>
      <c r="J248" s="382">
        <f t="shared" si="19"/>
        <v>0</v>
      </c>
      <c r="K248" s="382">
        <f t="shared" si="20"/>
        <v>0</v>
      </c>
      <c r="L248" s="646">
        <f>IFERROR(IF(B248="funkcna poziadavka",VLOOKUP(G248,MODULY_CBA!$B$3:$E$23,4,0)*H248/SUMIFS($H$3:$H$199,$G$3:$G$199,G248,$B$3:$B$199,B248),),)</f>
        <v>0</v>
      </c>
      <c r="M248" s="382">
        <f>IFERROR(IF(B248="Funkcna poziadavka",VLOOKUP(G248,MODULY_CBA!$B$3:$E$23,3,0),),)</f>
        <v>0</v>
      </c>
      <c r="N248" s="382">
        <f>IFERROR(IF(B248="funkcna poziadavka",VLOOKUP(G248,MODULY_CBA!$B$3:$E$23,2,0),),)</f>
        <v>0</v>
      </c>
      <c r="O248" s="381">
        <f t="shared" si="21"/>
        <v>0</v>
      </c>
      <c r="P248" s="380">
        <f>IFERROR(O248*VLOOKUP(G248,MODULY_CBA!$B$3:$F$23,5,0),)</f>
        <v>0</v>
      </c>
      <c r="Q248" s="482" t="str">
        <f>IFERROR(VLOOKUP(G248,MODULY_CBA!$B$3:$I$23,6,0),"")</f>
        <v/>
      </c>
      <c r="R248" s="385"/>
      <c r="S248" s="385"/>
      <c r="T248" s="385"/>
      <c r="U248" s="385"/>
      <c r="V248" s="385"/>
      <c r="W248" s="385"/>
      <c r="X248" s="385"/>
      <c r="Y248" s="385"/>
      <c r="Z248" s="385"/>
      <c r="AA248" s="385"/>
      <c r="AB248" s="385"/>
      <c r="AC248" s="385"/>
      <c r="AD248" s="385"/>
      <c r="AE248" s="385"/>
      <c r="AF248" s="377"/>
    </row>
    <row r="249" spans="1:32">
      <c r="A249" s="404"/>
      <c r="B249" s="404"/>
      <c r="C249" s="535"/>
      <c r="D249" s="535"/>
      <c r="E249" s="535"/>
      <c r="F249" s="386"/>
      <c r="G249" s="386"/>
      <c r="H249" s="652"/>
      <c r="I249" s="652"/>
      <c r="J249" s="382">
        <f t="shared" si="19"/>
        <v>0</v>
      </c>
      <c r="K249" s="382">
        <f t="shared" si="20"/>
        <v>0</v>
      </c>
      <c r="L249" s="646">
        <f>IFERROR(IF(B249="funkcna poziadavka",VLOOKUP(G249,MODULY_CBA!$B$3:$E$23,4,0)*H249/SUMIFS($H$3:$H$199,$G$3:$G$199,G249,$B$3:$B$199,B249),),)</f>
        <v>0</v>
      </c>
      <c r="M249" s="382">
        <f>IFERROR(IF(B249="Funkcna poziadavka",VLOOKUP(G249,MODULY_CBA!$B$3:$E$23,3,0),),)</f>
        <v>0</v>
      </c>
      <c r="N249" s="382">
        <f>IFERROR(IF(B249="funkcna poziadavka",VLOOKUP(G249,MODULY_CBA!$B$3:$E$23,2,0),),)</f>
        <v>0</v>
      </c>
      <c r="O249" s="381">
        <f t="shared" si="21"/>
        <v>0</v>
      </c>
      <c r="P249" s="380">
        <f>IFERROR(O249*VLOOKUP(G249,MODULY_CBA!$B$3:$F$23,5,0),)</f>
        <v>0</v>
      </c>
      <c r="Q249" s="482" t="str">
        <f>IFERROR(VLOOKUP(G249,MODULY_CBA!$B$3:$I$23,6,0),"")</f>
        <v/>
      </c>
      <c r="R249" s="385"/>
      <c r="S249" s="385"/>
      <c r="T249" s="385"/>
      <c r="U249" s="385"/>
      <c r="V249" s="385"/>
      <c r="W249" s="385"/>
      <c r="X249" s="385"/>
      <c r="Y249" s="385"/>
      <c r="Z249" s="385"/>
      <c r="AA249" s="385"/>
      <c r="AB249" s="385"/>
      <c r="AC249" s="385"/>
      <c r="AD249" s="385"/>
      <c r="AE249" s="385"/>
      <c r="AF249" s="377"/>
    </row>
    <row r="250" spans="1:32">
      <c r="A250" s="404"/>
      <c r="B250" s="404"/>
      <c r="C250" s="535"/>
      <c r="D250" s="535"/>
      <c r="E250" s="535"/>
      <c r="F250" s="386"/>
      <c r="G250" s="386"/>
      <c r="H250" s="652"/>
      <c r="I250" s="652"/>
      <c r="J250" s="382">
        <f t="shared" si="19"/>
        <v>0</v>
      </c>
      <c r="K250" s="382">
        <f t="shared" si="20"/>
        <v>0</v>
      </c>
      <c r="L250" s="646">
        <f>IFERROR(IF(B250="funkcna poziadavka",VLOOKUP(G250,MODULY_CBA!$B$3:$E$23,4,0)*H250/SUMIFS($H$3:$H$199,$G$3:$G$199,G250,$B$3:$B$199,B250),),)</f>
        <v>0</v>
      </c>
      <c r="M250" s="382">
        <f>IFERROR(IF(B250="Funkcna poziadavka",VLOOKUP(G250,MODULY_CBA!$B$3:$E$23,3,0),),)</f>
        <v>0</v>
      </c>
      <c r="N250" s="382">
        <f>IFERROR(IF(B250="funkcna poziadavka",VLOOKUP(G250,MODULY_CBA!$B$3:$E$23,2,0),),)</f>
        <v>0</v>
      </c>
      <c r="O250" s="381">
        <f t="shared" si="21"/>
        <v>0</v>
      </c>
      <c r="P250" s="380">
        <f>IFERROR(O250*VLOOKUP(G250,MODULY_CBA!$B$3:$F$23,5,0),)</f>
        <v>0</v>
      </c>
      <c r="Q250" s="482" t="str">
        <f>IFERROR(VLOOKUP(G250,MODULY_CBA!$B$3:$I$23,6,0),"")</f>
        <v/>
      </c>
      <c r="R250" s="385"/>
      <c r="S250" s="385"/>
      <c r="T250" s="385"/>
      <c r="U250" s="385"/>
      <c r="V250" s="385"/>
      <c r="W250" s="385"/>
      <c r="X250" s="385"/>
      <c r="Y250" s="385"/>
      <c r="Z250" s="385"/>
      <c r="AA250" s="385"/>
      <c r="AB250" s="385"/>
      <c r="AC250" s="385"/>
      <c r="AD250" s="385"/>
      <c r="AE250" s="385"/>
      <c r="AF250" s="377"/>
    </row>
    <row r="251" spans="1:32">
      <c r="A251" s="404"/>
      <c r="B251" s="404"/>
      <c r="C251" s="535"/>
      <c r="D251" s="535"/>
      <c r="E251" s="535"/>
      <c r="F251" s="386"/>
      <c r="G251" s="386"/>
      <c r="H251" s="652"/>
      <c r="I251" s="652"/>
      <c r="J251" s="382">
        <f t="shared" si="19"/>
        <v>0</v>
      </c>
      <c r="K251" s="382">
        <f t="shared" si="20"/>
        <v>0</v>
      </c>
      <c r="L251" s="646">
        <f>IFERROR(IF(B251="funkcna poziadavka",VLOOKUP(G251,MODULY_CBA!$B$3:$E$23,4,0)*H251/SUMIFS($H$3:$H$199,$G$3:$G$199,G251,$B$3:$B$199,B251),),)</f>
        <v>0</v>
      </c>
      <c r="M251" s="382">
        <f>IFERROR(IF(B251="Funkcna poziadavka",VLOOKUP(G251,MODULY_CBA!$B$3:$E$23,3,0),),)</f>
        <v>0</v>
      </c>
      <c r="N251" s="382">
        <f>IFERROR(IF(B251="funkcna poziadavka",VLOOKUP(G251,MODULY_CBA!$B$3:$E$23,2,0),),)</f>
        <v>0</v>
      </c>
      <c r="O251" s="381">
        <f t="shared" si="21"/>
        <v>0</v>
      </c>
      <c r="P251" s="380">
        <f>IFERROR(O251*VLOOKUP(G251,MODULY_CBA!$B$3:$F$23,5,0),)</f>
        <v>0</v>
      </c>
      <c r="Q251" s="482" t="str">
        <f>IFERROR(VLOOKUP(G251,MODULY_CBA!$B$3:$I$23,6,0),"")</f>
        <v/>
      </c>
      <c r="R251" s="385"/>
      <c r="S251" s="385"/>
      <c r="T251" s="385"/>
      <c r="U251" s="385"/>
      <c r="V251" s="385"/>
      <c r="W251" s="385"/>
      <c r="X251" s="385"/>
      <c r="Y251" s="385"/>
      <c r="Z251" s="385"/>
      <c r="AA251" s="385"/>
      <c r="AB251" s="385"/>
      <c r="AC251" s="385"/>
      <c r="AD251" s="385"/>
      <c r="AE251" s="385"/>
      <c r="AF251" s="377"/>
    </row>
    <row r="252" spans="1:32">
      <c r="A252" s="404"/>
      <c r="B252" s="404"/>
      <c r="C252" s="535"/>
      <c r="D252" s="535"/>
      <c r="E252" s="535"/>
      <c r="F252" s="386"/>
      <c r="G252" s="386"/>
      <c r="H252" s="652"/>
      <c r="I252" s="652"/>
      <c r="J252" s="382">
        <f t="shared" si="19"/>
        <v>0</v>
      </c>
      <c r="K252" s="382">
        <f t="shared" si="20"/>
        <v>0</v>
      </c>
      <c r="L252" s="646">
        <f>IFERROR(IF(B252="funkcna poziadavka",VLOOKUP(G252,MODULY_CBA!$B$3:$E$23,4,0)*H252/SUMIFS($H$3:$H$199,$G$3:$G$199,G252,$B$3:$B$199,B252),),)</f>
        <v>0</v>
      </c>
      <c r="M252" s="382">
        <f>IFERROR(IF(B252="Funkcna poziadavka",VLOOKUP(G252,MODULY_CBA!$B$3:$E$23,3,0),),)</f>
        <v>0</v>
      </c>
      <c r="N252" s="382">
        <f>IFERROR(IF(B252="funkcna poziadavka",VLOOKUP(G252,MODULY_CBA!$B$3:$E$23,2,0),),)</f>
        <v>0</v>
      </c>
      <c r="O252" s="381">
        <f t="shared" si="21"/>
        <v>0</v>
      </c>
      <c r="P252" s="380">
        <f>IFERROR(O252*VLOOKUP(G252,MODULY_CBA!$B$3:$F$23,5,0),)</f>
        <v>0</v>
      </c>
      <c r="Q252" s="482" t="str">
        <f>IFERROR(VLOOKUP(G252,MODULY_CBA!$B$3:$I$23,6,0),"")</f>
        <v/>
      </c>
      <c r="R252" s="385"/>
      <c r="S252" s="385"/>
      <c r="T252" s="385"/>
      <c r="U252" s="385"/>
      <c r="V252" s="385"/>
      <c r="W252" s="385"/>
      <c r="X252" s="385"/>
      <c r="Y252" s="385"/>
      <c r="Z252" s="385"/>
      <c r="AA252" s="385"/>
      <c r="AB252" s="385"/>
      <c r="AC252" s="385"/>
      <c r="AD252" s="385"/>
      <c r="AE252" s="385"/>
      <c r="AF252" s="377"/>
    </row>
    <row r="253" spans="1:32">
      <c r="A253" s="404"/>
      <c r="B253" s="404"/>
      <c r="C253" s="535"/>
      <c r="D253" s="535"/>
      <c r="E253" s="535"/>
      <c r="F253" s="386"/>
      <c r="G253" s="386"/>
      <c r="H253" s="652"/>
      <c r="I253" s="652"/>
      <c r="J253" s="382">
        <f t="shared" si="19"/>
        <v>0</v>
      </c>
      <c r="K253" s="382">
        <f t="shared" si="20"/>
        <v>0</v>
      </c>
      <c r="L253" s="646">
        <f>IFERROR(IF(B253="funkcna poziadavka",VLOOKUP(G253,MODULY_CBA!$B$3:$E$23,4,0)*H253/SUMIFS($H$3:$H$199,$G$3:$G$199,G253,$B$3:$B$199,B253),),)</f>
        <v>0</v>
      </c>
      <c r="M253" s="382">
        <f>IFERROR(IF(B253="Funkcna poziadavka",VLOOKUP(G253,MODULY_CBA!$B$3:$E$23,3,0),),)</f>
        <v>0</v>
      </c>
      <c r="N253" s="382">
        <f>IFERROR(IF(B253="funkcna poziadavka",VLOOKUP(G253,MODULY_CBA!$B$3:$E$23,2,0),),)</f>
        <v>0</v>
      </c>
      <c r="O253" s="381">
        <f t="shared" si="21"/>
        <v>0</v>
      </c>
      <c r="P253" s="380">
        <f>IFERROR(O253*VLOOKUP(G253,MODULY_CBA!$B$3:$F$23,5,0),)</f>
        <v>0</v>
      </c>
      <c r="Q253" s="482" t="str">
        <f>IFERROR(VLOOKUP(G253,MODULY_CBA!$B$3:$I$23,6,0),"")</f>
        <v/>
      </c>
      <c r="R253" s="385"/>
      <c r="S253" s="385"/>
      <c r="T253" s="385"/>
      <c r="U253" s="385"/>
      <c r="V253" s="385"/>
      <c r="W253" s="385"/>
      <c r="X253" s="385"/>
      <c r="Y253" s="385"/>
      <c r="Z253" s="385"/>
      <c r="AA253" s="385"/>
      <c r="AB253" s="385"/>
      <c r="AC253" s="385"/>
      <c r="AD253" s="385"/>
      <c r="AE253" s="385"/>
      <c r="AF253" s="377"/>
    </row>
    <row r="254" spans="1:32">
      <c r="A254" s="404"/>
      <c r="B254" s="404"/>
      <c r="C254" s="535"/>
      <c r="D254" s="535"/>
      <c r="E254" s="535"/>
      <c r="F254" s="386"/>
      <c r="G254" s="386"/>
      <c r="H254" s="652"/>
      <c r="I254" s="652"/>
      <c r="J254" s="382">
        <f t="shared" si="19"/>
        <v>0</v>
      </c>
      <c r="K254" s="382">
        <f t="shared" si="20"/>
        <v>0</v>
      </c>
      <c r="L254" s="646">
        <f>IFERROR(IF(B254="funkcna poziadavka",VLOOKUP(G254,MODULY_CBA!$B$3:$E$23,4,0)*H254/SUMIFS($H$3:$H$199,$G$3:$G$199,G254,$B$3:$B$199,B254),),)</f>
        <v>0</v>
      </c>
      <c r="M254" s="382">
        <f>IFERROR(IF(B254="Funkcna poziadavka",VLOOKUP(G254,MODULY_CBA!$B$3:$E$23,3,0),),)</f>
        <v>0</v>
      </c>
      <c r="N254" s="382">
        <f>IFERROR(IF(B254="funkcna poziadavka",VLOOKUP(G254,MODULY_CBA!$B$3:$E$23,2,0),),)</f>
        <v>0</v>
      </c>
      <c r="O254" s="381">
        <f t="shared" si="21"/>
        <v>0</v>
      </c>
      <c r="P254" s="380">
        <f>IFERROR(O254*VLOOKUP(G254,MODULY_CBA!$B$3:$F$23,5,0),)</f>
        <v>0</v>
      </c>
      <c r="Q254" s="482" t="str">
        <f>IFERROR(VLOOKUP(G254,MODULY_CBA!$B$3:$I$23,6,0),"")</f>
        <v/>
      </c>
      <c r="R254" s="385"/>
      <c r="S254" s="385"/>
      <c r="T254" s="385"/>
      <c r="U254" s="385"/>
      <c r="V254" s="385"/>
      <c r="W254" s="385"/>
      <c r="X254" s="385"/>
      <c r="Y254" s="385"/>
      <c r="Z254" s="385"/>
      <c r="AA254" s="385"/>
      <c r="AB254" s="385"/>
      <c r="AC254" s="385"/>
      <c r="AD254" s="385"/>
      <c r="AE254" s="385"/>
      <c r="AF254" s="377"/>
    </row>
    <row r="255" spans="1:32">
      <c r="A255" s="404"/>
      <c r="B255" s="404"/>
      <c r="C255" s="535"/>
      <c r="D255" s="535"/>
      <c r="E255" s="535"/>
      <c r="F255" s="386"/>
      <c r="G255" s="386"/>
      <c r="H255" s="652"/>
      <c r="I255" s="652"/>
      <c r="J255" s="382">
        <f t="shared" si="19"/>
        <v>0</v>
      </c>
      <c r="K255" s="382">
        <f t="shared" si="20"/>
        <v>0</v>
      </c>
      <c r="L255" s="646">
        <f>IFERROR(IF(B255="funkcna poziadavka",VLOOKUP(G255,MODULY_CBA!$B$3:$E$23,4,0)*H255/SUMIFS($H$3:$H$199,$G$3:$G$199,G255,$B$3:$B$199,B255),),)</f>
        <v>0</v>
      </c>
      <c r="M255" s="382">
        <f>IFERROR(IF(B255="Funkcna poziadavka",VLOOKUP(G255,MODULY_CBA!$B$3:$E$23,3,0),),)</f>
        <v>0</v>
      </c>
      <c r="N255" s="382">
        <f>IFERROR(IF(B255="funkcna poziadavka",VLOOKUP(G255,MODULY_CBA!$B$3:$E$23,2,0),),)</f>
        <v>0</v>
      </c>
      <c r="O255" s="381">
        <f t="shared" si="21"/>
        <v>0</v>
      </c>
      <c r="P255" s="380">
        <f>IFERROR(O255*VLOOKUP(G255,MODULY_CBA!$B$3:$F$23,5,0),)</f>
        <v>0</v>
      </c>
      <c r="Q255" s="482" t="str">
        <f>IFERROR(VLOOKUP(G255,MODULY_CBA!$B$3:$I$23,6,0),"")</f>
        <v/>
      </c>
      <c r="R255" s="385"/>
      <c r="S255" s="385"/>
      <c r="T255" s="385"/>
      <c r="U255" s="385"/>
      <c r="V255" s="385"/>
      <c r="W255" s="385"/>
      <c r="X255" s="385"/>
      <c r="Y255" s="385"/>
      <c r="Z255" s="385"/>
      <c r="AA255" s="385"/>
      <c r="AB255" s="385"/>
      <c r="AC255" s="385"/>
      <c r="AD255" s="385"/>
      <c r="AE255" s="385"/>
      <c r="AF255" s="377"/>
    </row>
    <row r="256" spans="1:32">
      <c r="A256" s="404"/>
      <c r="B256" s="404"/>
      <c r="C256" s="535"/>
      <c r="D256" s="535"/>
      <c r="E256" s="535"/>
      <c r="F256" s="386"/>
      <c r="G256" s="386"/>
      <c r="H256" s="652"/>
      <c r="I256" s="652"/>
      <c r="J256" s="382">
        <f t="shared" si="19"/>
        <v>0</v>
      </c>
      <c r="K256" s="382">
        <f t="shared" si="20"/>
        <v>0</v>
      </c>
      <c r="L256" s="646">
        <f>IFERROR(IF(B256="funkcna poziadavka",VLOOKUP(G256,MODULY_CBA!$B$3:$E$23,4,0)*H256/SUMIFS($H$3:$H$199,$G$3:$G$199,G256,$B$3:$B$199,B256),),)</f>
        <v>0</v>
      </c>
      <c r="M256" s="382">
        <f>IFERROR(IF(B256="Funkcna poziadavka",VLOOKUP(G256,MODULY_CBA!$B$3:$E$23,3,0),),)</f>
        <v>0</v>
      </c>
      <c r="N256" s="382">
        <f>IFERROR(IF(B256="funkcna poziadavka",VLOOKUP(G256,MODULY_CBA!$B$3:$E$23,2,0),),)</f>
        <v>0</v>
      </c>
      <c r="O256" s="381">
        <f t="shared" si="21"/>
        <v>0</v>
      </c>
      <c r="P256" s="380">
        <f>IFERROR(O256*VLOOKUP(G256,MODULY_CBA!$B$3:$F$23,5,0),)</f>
        <v>0</v>
      </c>
      <c r="Q256" s="482" t="str">
        <f>IFERROR(VLOOKUP(G256,MODULY_CBA!$B$3:$I$23,6,0),"")</f>
        <v/>
      </c>
      <c r="R256" s="385"/>
      <c r="S256" s="385"/>
      <c r="T256" s="385"/>
      <c r="U256" s="385"/>
      <c r="V256" s="385"/>
      <c r="W256" s="385"/>
      <c r="X256" s="385"/>
      <c r="Y256" s="385"/>
      <c r="Z256" s="385"/>
      <c r="AA256" s="385"/>
      <c r="AB256" s="385"/>
      <c r="AC256" s="385"/>
      <c r="AD256" s="385"/>
      <c r="AE256" s="385"/>
      <c r="AF256" s="377"/>
    </row>
    <row r="257" spans="1:32">
      <c r="A257" s="404"/>
      <c r="B257" s="404"/>
      <c r="C257" s="535"/>
      <c r="D257" s="535"/>
      <c r="E257" s="535"/>
      <c r="F257" s="386"/>
      <c r="G257" s="386"/>
      <c r="H257" s="652"/>
      <c r="I257" s="652"/>
      <c r="J257" s="382">
        <f t="shared" si="19"/>
        <v>0</v>
      </c>
      <c r="K257" s="382">
        <f t="shared" si="20"/>
        <v>0</v>
      </c>
      <c r="L257" s="646">
        <f>IFERROR(IF(B257="funkcna poziadavka",VLOOKUP(G257,MODULY_CBA!$B$3:$E$23,4,0)*H257/SUMIFS($H$3:$H$199,$G$3:$G$199,G257,$B$3:$B$199,B257),),)</f>
        <v>0</v>
      </c>
      <c r="M257" s="382">
        <f>IFERROR(IF(B257="Funkcna poziadavka",VLOOKUP(G257,MODULY_CBA!$B$3:$E$23,3,0),),)</f>
        <v>0</v>
      </c>
      <c r="N257" s="382">
        <f>IFERROR(IF(B257="funkcna poziadavka",VLOOKUP(G257,MODULY_CBA!$B$3:$E$23,2,0),),)</f>
        <v>0</v>
      </c>
      <c r="O257" s="381">
        <f t="shared" si="21"/>
        <v>0</v>
      </c>
      <c r="P257" s="380">
        <f>IFERROR(O257*VLOOKUP(G257,MODULY_CBA!$B$3:$F$23,5,0),)</f>
        <v>0</v>
      </c>
      <c r="Q257" s="482" t="str">
        <f>IFERROR(VLOOKUP(G257,MODULY_CBA!$B$3:$I$23,6,0),"")</f>
        <v/>
      </c>
      <c r="R257" s="385"/>
      <c r="S257" s="385"/>
      <c r="T257" s="385"/>
      <c r="U257" s="385"/>
      <c r="V257" s="385"/>
      <c r="W257" s="385"/>
      <c r="X257" s="385"/>
      <c r="Y257" s="385"/>
      <c r="Z257" s="385"/>
      <c r="AA257" s="385"/>
      <c r="AB257" s="385"/>
      <c r="AC257" s="385"/>
      <c r="AD257" s="385"/>
      <c r="AE257" s="385"/>
      <c r="AF257" s="377"/>
    </row>
    <row r="258" spans="1:32">
      <c r="A258" s="404"/>
      <c r="B258" s="404"/>
      <c r="C258" s="535"/>
      <c r="D258" s="535"/>
      <c r="E258" s="535"/>
      <c r="F258" s="386"/>
      <c r="G258" s="386"/>
      <c r="H258" s="652"/>
      <c r="I258" s="652"/>
      <c r="J258" s="382">
        <f t="shared" si="19"/>
        <v>0</v>
      </c>
      <c r="K258" s="382">
        <f t="shared" si="20"/>
        <v>0</v>
      </c>
      <c r="L258" s="646">
        <f>IFERROR(IF(B258="funkcna poziadavka",VLOOKUP(G258,MODULY_CBA!$B$3:$E$23,4,0)*H258/SUMIFS($H$3:$H$199,$G$3:$G$199,G258,$B$3:$B$199,B258),),)</f>
        <v>0</v>
      </c>
      <c r="M258" s="382">
        <f>IFERROR(IF(B258="Funkcna poziadavka",VLOOKUP(G258,MODULY_CBA!$B$3:$E$23,3,0),),)</f>
        <v>0</v>
      </c>
      <c r="N258" s="382">
        <f>IFERROR(IF(B258="funkcna poziadavka",VLOOKUP(G258,MODULY_CBA!$B$3:$E$23,2,0),),)</f>
        <v>0</v>
      </c>
      <c r="O258" s="381">
        <f t="shared" si="21"/>
        <v>0</v>
      </c>
      <c r="P258" s="380">
        <f>IFERROR(O258*VLOOKUP(G258,MODULY_CBA!$B$3:$F$23,5,0),)</f>
        <v>0</v>
      </c>
      <c r="Q258" s="482" t="str">
        <f>IFERROR(VLOOKUP(G258,MODULY_CBA!$B$3:$I$23,6,0),"")</f>
        <v/>
      </c>
      <c r="R258" s="385"/>
      <c r="S258" s="385"/>
      <c r="T258" s="385"/>
      <c r="U258" s="385"/>
      <c r="V258" s="385"/>
      <c r="W258" s="385"/>
      <c r="X258" s="385"/>
      <c r="Y258" s="385"/>
      <c r="Z258" s="385"/>
      <c r="AA258" s="385"/>
      <c r="AB258" s="385"/>
      <c r="AC258" s="385"/>
      <c r="AD258" s="385"/>
      <c r="AE258" s="385"/>
      <c r="AF258" s="377"/>
    </row>
    <row r="259" spans="1:32">
      <c r="A259" s="404"/>
      <c r="B259" s="404"/>
      <c r="C259" s="535"/>
      <c r="D259" s="535"/>
      <c r="E259" s="535"/>
      <c r="F259" s="386"/>
      <c r="G259" s="386"/>
      <c r="H259" s="652"/>
      <c r="I259" s="652"/>
      <c r="J259" s="382">
        <f t="shared" si="19"/>
        <v>0</v>
      </c>
      <c r="K259" s="382">
        <f t="shared" si="20"/>
        <v>0</v>
      </c>
      <c r="L259" s="646">
        <f>IFERROR(IF(B259="funkcna poziadavka",VLOOKUP(G259,MODULY_CBA!$B$3:$E$23,4,0)*H259/SUMIFS($H$3:$H$199,$G$3:$G$199,G259,$B$3:$B$199,B259),),)</f>
        <v>0</v>
      </c>
      <c r="M259" s="382">
        <f>IFERROR(IF(B259="Funkcna poziadavka",VLOOKUP(G259,MODULY_CBA!$B$3:$E$23,3,0),),)</f>
        <v>0</v>
      </c>
      <c r="N259" s="382">
        <f>IFERROR(IF(B259="funkcna poziadavka",VLOOKUP(G259,MODULY_CBA!$B$3:$E$23,2,0),),)</f>
        <v>0</v>
      </c>
      <c r="O259" s="381">
        <f t="shared" si="21"/>
        <v>0</v>
      </c>
      <c r="P259" s="380">
        <f>IFERROR(O259*VLOOKUP(G259,MODULY_CBA!$B$3:$F$23,5,0),)</f>
        <v>0</v>
      </c>
      <c r="Q259" s="482" t="str">
        <f>IFERROR(VLOOKUP(G259,MODULY_CBA!$B$3:$I$23,6,0),"")</f>
        <v/>
      </c>
      <c r="R259" s="385"/>
      <c r="S259" s="385"/>
      <c r="T259" s="385"/>
      <c r="U259" s="385"/>
      <c r="V259" s="385"/>
      <c r="W259" s="385"/>
      <c r="X259" s="385"/>
      <c r="Y259" s="385"/>
      <c r="Z259" s="385"/>
      <c r="AA259" s="385"/>
      <c r="AB259" s="385"/>
      <c r="AC259" s="385"/>
      <c r="AD259" s="385"/>
      <c r="AE259" s="385"/>
      <c r="AF259" s="377"/>
    </row>
    <row r="260" spans="1:32">
      <c r="A260" s="404"/>
      <c r="B260" s="404"/>
      <c r="C260" s="535"/>
      <c r="D260" s="535"/>
      <c r="E260" s="535"/>
      <c r="F260" s="386"/>
      <c r="G260" s="386"/>
      <c r="H260" s="652"/>
      <c r="I260" s="652"/>
      <c r="J260" s="382">
        <f t="shared" si="19"/>
        <v>0</v>
      </c>
      <c r="K260" s="382">
        <f t="shared" si="20"/>
        <v>0</v>
      </c>
      <c r="L260" s="646">
        <f>IFERROR(IF(B260="funkcna poziadavka",VLOOKUP(G260,MODULY_CBA!$B$3:$E$23,4,0)*H260/SUMIFS($H$3:$H$199,$G$3:$G$199,G260,$B$3:$B$199,B260),),)</f>
        <v>0</v>
      </c>
      <c r="M260" s="382">
        <f>IFERROR(IF(B260="Funkcna poziadavka",VLOOKUP(G260,MODULY_CBA!$B$3:$E$23,3,0),),)</f>
        <v>0</v>
      </c>
      <c r="N260" s="382">
        <f>IFERROR(IF(B260="funkcna poziadavka",VLOOKUP(G260,MODULY_CBA!$B$3:$E$23,2,0),),)</f>
        <v>0</v>
      </c>
      <c r="O260" s="381">
        <f t="shared" si="21"/>
        <v>0</v>
      </c>
      <c r="P260" s="380">
        <f>IFERROR(O260*VLOOKUP(G260,MODULY_CBA!$B$3:$F$23,5,0),)</f>
        <v>0</v>
      </c>
      <c r="Q260" s="482" t="str">
        <f>IFERROR(VLOOKUP(G260,MODULY_CBA!$B$3:$I$23,6,0),"")</f>
        <v/>
      </c>
      <c r="R260" s="385"/>
      <c r="S260" s="385"/>
      <c r="T260" s="385"/>
      <c r="U260" s="385"/>
      <c r="V260" s="385"/>
      <c r="W260" s="385"/>
      <c r="X260" s="385"/>
      <c r="Y260" s="385"/>
      <c r="Z260" s="385"/>
      <c r="AA260" s="385"/>
      <c r="AB260" s="385"/>
      <c r="AC260" s="385"/>
      <c r="AD260" s="385"/>
      <c r="AE260" s="385"/>
      <c r="AF260" s="377"/>
    </row>
    <row r="261" spans="1:32">
      <c r="A261" s="404"/>
      <c r="B261" s="404"/>
      <c r="C261" s="535"/>
      <c r="D261" s="535"/>
      <c r="E261" s="535"/>
      <c r="F261" s="386"/>
      <c r="G261" s="386"/>
      <c r="H261" s="652"/>
      <c r="I261" s="652"/>
      <c r="J261" s="382">
        <f t="shared" si="19"/>
        <v>0</v>
      </c>
      <c r="K261" s="382">
        <f t="shared" si="20"/>
        <v>0</v>
      </c>
      <c r="L261" s="646">
        <f>IFERROR(IF(B261="funkcna poziadavka",VLOOKUP(G261,MODULY_CBA!$B$3:$E$23,4,0)*H261/SUMIFS($H$3:$H$199,$G$3:$G$199,G261,$B$3:$B$199,B261),),)</f>
        <v>0</v>
      </c>
      <c r="M261" s="382">
        <f>IFERROR(IF(B261="Funkcna poziadavka",VLOOKUP(G261,MODULY_CBA!$B$3:$E$23,3,0),),)</f>
        <v>0</v>
      </c>
      <c r="N261" s="382">
        <f>IFERROR(IF(B261="funkcna poziadavka",VLOOKUP(G261,MODULY_CBA!$B$3:$E$23,2,0),),)</f>
        <v>0</v>
      </c>
      <c r="O261" s="381">
        <f t="shared" si="21"/>
        <v>0</v>
      </c>
      <c r="P261" s="380">
        <f>IFERROR(O261*VLOOKUP(G261,MODULY_CBA!$B$3:$F$23,5,0),)</f>
        <v>0</v>
      </c>
      <c r="Q261" s="482" t="str">
        <f>IFERROR(VLOOKUP(G261,MODULY_CBA!$B$3:$I$23,6,0),"")</f>
        <v/>
      </c>
      <c r="R261" s="385"/>
      <c r="S261" s="385"/>
      <c r="T261" s="385"/>
      <c r="U261" s="385"/>
      <c r="V261" s="385"/>
      <c r="W261" s="385"/>
      <c r="X261" s="385"/>
      <c r="Y261" s="385"/>
      <c r="Z261" s="385"/>
      <c r="AA261" s="385"/>
      <c r="AB261" s="385"/>
      <c r="AC261" s="385"/>
      <c r="AD261" s="385"/>
      <c r="AE261" s="385"/>
      <c r="AF261" s="377"/>
    </row>
    <row r="262" spans="1:32">
      <c r="A262" s="404"/>
      <c r="B262" s="404"/>
      <c r="C262" s="535"/>
      <c r="D262" s="535"/>
      <c r="E262" s="535"/>
      <c r="F262" s="386"/>
      <c r="G262" s="386"/>
      <c r="H262" s="652"/>
      <c r="I262" s="652"/>
      <c r="J262" s="382">
        <f t="shared" si="19"/>
        <v>0</v>
      </c>
      <c r="K262" s="382">
        <f t="shared" si="20"/>
        <v>0</v>
      </c>
      <c r="L262" s="646">
        <f>IFERROR(IF(B262="funkcna poziadavka",VLOOKUP(G262,MODULY_CBA!$B$3:$E$23,4,0)*H262/SUMIFS($H$3:$H$199,$G$3:$G$199,G262,$B$3:$B$199,B262),),)</f>
        <v>0</v>
      </c>
      <c r="M262" s="382">
        <f>IFERROR(IF(B262="Funkcna poziadavka",VLOOKUP(G262,MODULY_CBA!$B$3:$E$23,3,0),),)</f>
        <v>0</v>
      </c>
      <c r="N262" s="382">
        <f>IFERROR(IF(B262="funkcna poziadavka",VLOOKUP(G262,MODULY_CBA!$B$3:$E$23,2,0),),)</f>
        <v>0</v>
      </c>
      <c r="O262" s="381">
        <f t="shared" si="21"/>
        <v>0</v>
      </c>
      <c r="P262" s="380">
        <f>IFERROR(O262*VLOOKUP(G262,MODULY_CBA!$B$3:$F$23,5,0),)</f>
        <v>0</v>
      </c>
      <c r="Q262" s="482" t="str">
        <f>IFERROR(VLOOKUP(G262,MODULY_CBA!$B$3:$I$23,6,0),"")</f>
        <v/>
      </c>
      <c r="R262" s="385"/>
      <c r="S262" s="385"/>
      <c r="T262" s="385"/>
      <c r="U262" s="385"/>
      <c r="V262" s="385"/>
      <c r="W262" s="385"/>
      <c r="X262" s="385"/>
      <c r="Y262" s="385"/>
      <c r="Z262" s="385"/>
      <c r="AA262" s="385"/>
      <c r="AB262" s="385"/>
      <c r="AC262" s="385"/>
      <c r="AD262" s="385"/>
      <c r="AE262" s="385"/>
      <c r="AF262" s="377"/>
    </row>
    <row r="263" spans="1:32">
      <c r="A263" s="404"/>
      <c r="B263" s="404"/>
      <c r="C263" s="535"/>
      <c r="D263" s="535"/>
      <c r="E263" s="535"/>
      <c r="F263" s="386"/>
      <c r="G263" s="386"/>
      <c r="H263" s="652"/>
      <c r="I263" s="652"/>
      <c r="J263" s="382">
        <f t="shared" si="19"/>
        <v>0</v>
      </c>
      <c r="K263" s="382">
        <f t="shared" si="20"/>
        <v>0</v>
      </c>
      <c r="L263" s="646">
        <f>IFERROR(IF(B263="funkcna poziadavka",VLOOKUP(G263,MODULY_CBA!$B$3:$E$23,4,0)*H263/SUMIFS($H$3:$H$199,$G$3:$G$199,G263,$B$3:$B$199,B263),),)</f>
        <v>0</v>
      </c>
      <c r="M263" s="382">
        <f>IFERROR(IF(B263="Funkcna poziadavka",VLOOKUP(G263,MODULY_CBA!$B$3:$E$23,3,0),),)</f>
        <v>0</v>
      </c>
      <c r="N263" s="382">
        <f>IFERROR(IF(B263="funkcna poziadavka",VLOOKUP(G263,MODULY_CBA!$B$3:$E$23,2,0),),)</f>
        <v>0</v>
      </c>
      <c r="O263" s="381">
        <f t="shared" si="21"/>
        <v>0</v>
      </c>
      <c r="P263" s="380">
        <f>IFERROR(O263*VLOOKUP(G263,MODULY_CBA!$B$3:$F$23,5,0),)</f>
        <v>0</v>
      </c>
      <c r="Q263" s="482" t="str">
        <f>IFERROR(VLOOKUP(G263,MODULY_CBA!$B$3:$I$23,6,0),"")</f>
        <v/>
      </c>
      <c r="R263" s="385"/>
      <c r="S263" s="385"/>
      <c r="T263" s="385"/>
      <c r="U263" s="385"/>
      <c r="V263" s="385"/>
      <c r="W263" s="385"/>
      <c r="X263" s="385"/>
      <c r="Y263" s="385"/>
      <c r="Z263" s="385"/>
      <c r="AA263" s="385"/>
      <c r="AB263" s="385"/>
      <c r="AC263" s="385"/>
      <c r="AD263" s="385"/>
      <c r="AE263" s="385"/>
      <c r="AF263" s="377"/>
    </row>
    <row r="264" spans="1:32">
      <c r="A264" s="404"/>
      <c r="B264" s="404"/>
      <c r="C264" s="535"/>
      <c r="D264" s="535"/>
      <c r="E264" s="535"/>
      <c r="F264" s="386"/>
      <c r="G264" s="386"/>
      <c r="H264" s="652"/>
      <c r="I264" s="652"/>
      <c r="J264" s="382">
        <f t="shared" si="19"/>
        <v>0</v>
      </c>
      <c r="K264" s="382">
        <f t="shared" si="20"/>
        <v>0</v>
      </c>
      <c r="L264" s="646">
        <f>IFERROR(IF(B264="funkcna poziadavka",VLOOKUP(G264,MODULY_CBA!$B$3:$E$23,4,0)*H264/SUMIFS($H$3:$H$199,$G$3:$G$199,G264,$B$3:$B$199,B264),),)</f>
        <v>0</v>
      </c>
      <c r="M264" s="382">
        <f>IFERROR(IF(B264="Funkcna poziadavka",VLOOKUP(G264,MODULY_CBA!$B$3:$E$23,3,0),),)</f>
        <v>0</v>
      </c>
      <c r="N264" s="382">
        <f>IFERROR(IF(B264="funkcna poziadavka",VLOOKUP(G264,MODULY_CBA!$B$3:$E$23,2,0),),)</f>
        <v>0</v>
      </c>
      <c r="O264" s="381">
        <f t="shared" si="21"/>
        <v>0</v>
      </c>
      <c r="P264" s="380">
        <f>IFERROR(O264*VLOOKUP(G264,MODULY_CBA!$B$3:$F$23,5,0),)</f>
        <v>0</v>
      </c>
      <c r="Q264" s="482" t="str">
        <f>IFERROR(VLOOKUP(G264,MODULY_CBA!$B$3:$I$23,6,0),"")</f>
        <v/>
      </c>
      <c r="R264" s="385"/>
      <c r="S264" s="385"/>
      <c r="T264" s="385"/>
      <c r="U264" s="385"/>
      <c r="V264" s="385"/>
      <c r="W264" s="385"/>
      <c r="X264" s="385"/>
      <c r="Y264" s="385"/>
      <c r="Z264" s="385"/>
      <c r="AA264" s="385"/>
      <c r="AB264" s="385"/>
      <c r="AC264" s="385"/>
      <c r="AD264" s="385"/>
      <c r="AE264" s="385"/>
      <c r="AF264" s="377"/>
    </row>
    <row r="265" spans="1:32">
      <c r="A265" s="404"/>
      <c r="B265" s="404"/>
      <c r="C265" s="535"/>
      <c r="D265" s="535"/>
      <c r="E265" s="535"/>
      <c r="F265" s="386"/>
      <c r="G265" s="386"/>
      <c r="H265" s="652"/>
      <c r="I265" s="652"/>
      <c r="J265" s="382">
        <f t="shared" si="19"/>
        <v>0</v>
      </c>
      <c r="K265" s="382">
        <f t="shared" si="20"/>
        <v>0</v>
      </c>
      <c r="L265" s="646">
        <f>IFERROR(IF(B265="funkcna poziadavka",VLOOKUP(G265,MODULY_CBA!$B$3:$E$23,4,0)*H265/SUMIFS($H$3:$H$199,$G$3:$G$199,G265,$B$3:$B$199,B265),),)</f>
        <v>0</v>
      </c>
      <c r="M265" s="382">
        <f>IFERROR(IF(B265="Funkcna poziadavka",VLOOKUP(G265,MODULY_CBA!$B$3:$E$23,3,0),),)</f>
        <v>0</v>
      </c>
      <c r="N265" s="382">
        <f>IFERROR(IF(B265="funkcna poziadavka",VLOOKUP(G265,MODULY_CBA!$B$3:$E$23,2,0),),)</f>
        <v>0</v>
      </c>
      <c r="O265" s="381">
        <f t="shared" si="21"/>
        <v>0</v>
      </c>
      <c r="P265" s="380">
        <f>IFERROR(O265*VLOOKUP(G265,MODULY_CBA!$B$3:$F$23,5,0),)</f>
        <v>0</v>
      </c>
      <c r="Q265" s="482" t="str">
        <f>IFERROR(VLOOKUP(G265,MODULY_CBA!$B$3:$I$23,6,0),"")</f>
        <v/>
      </c>
      <c r="R265" s="385"/>
      <c r="S265" s="385"/>
      <c r="T265" s="385"/>
      <c r="U265" s="385"/>
      <c r="V265" s="385"/>
      <c r="W265" s="385"/>
      <c r="X265" s="385"/>
      <c r="Y265" s="385"/>
      <c r="Z265" s="385"/>
      <c r="AA265" s="385"/>
      <c r="AB265" s="385"/>
      <c r="AC265" s="385"/>
      <c r="AD265" s="385"/>
      <c r="AE265" s="385"/>
      <c r="AF265" s="377"/>
    </row>
    <row r="266" spans="1:32">
      <c r="A266" s="404"/>
      <c r="B266" s="404"/>
      <c r="C266" s="535"/>
      <c r="D266" s="535"/>
      <c r="E266" s="535"/>
      <c r="F266" s="386"/>
      <c r="G266" s="386"/>
      <c r="H266" s="652"/>
      <c r="I266" s="652"/>
      <c r="J266" s="382">
        <f t="shared" si="19"/>
        <v>0</v>
      </c>
      <c r="K266" s="382">
        <f t="shared" si="20"/>
        <v>0</v>
      </c>
      <c r="L266" s="646">
        <f>IFERROR(IF(B266="funkcna poziadavka",VLOOKUP(G266,MODULY_CBA!$B$3:$E$23,4,0)*H266/SUMIFS($H$3:$H$199,$G$3:$G$199,G266,$B$3:$B$199,B266),),)</f>
        <v>0</v>
      </c>
      <c r="M266" s="382">
        <f>IFERROR(IF(B266="Funkcna poziadavka",VLOOKUP(G266,MODULY_CBA!$B$3:$E$23,3,0),),)</f>
        <v>0</v>
      </c>
      <c r="N266" s="382">
        <f>IFERROR(IF(B266="funkcna poziadavka",VLOOKUP(G266,MODULY_CBA!$B$3:$E$23,2,0),),)</f>
        <v>0</v>
      </c>
      <c r="O266" s="381">
        <f t="shared" si="21"/>
        <v>0</v>
      </c>
      <c r="P266" s="380">
        <f>IFERROR(O266*VLOOKUP(G266,MODULY_CBA!$B$3:$F$23,5,0),)</f>
        <v>0</v>
      </c>
      <c r="Q266" s="482" t="str">
        <f>IFERROR(VLOOKUP(G266,MODULY_CBA!$B$3:$I$23,6,0),"")</f>
        <v/>
      </c>
      <c r="R266" s="385"/>
      <c r="S266" s="385"/>
      <c r="T266" s="385"/>
      <c r="U266" s="385"/>
      <c r="V266" s="385"/>
      <c r="W266" s="385"/>
      <c r="X266" s="385"/>
      <c r="Y266" s="385"/>
      <c r="Z266" s="385"/>
      <c r="AA266" s="385"/>
      <c r="AB266" s="385"/>
      <c r="AC266" s="385"/>
      <c r="AD266" s="385"/>
      <c r="AE266" s="385"/>
      <c r="AF266" s="377"/>
    </row>
    <row r="267" spans="1:32">
      <c r="A267" s="404"/>
      <c r="B267" s="404"/>
      <c r="C267" s="535"/>
      <c r="D267" s="535"/>
      <c r="E267" s="535"/>
      <c r="F267" s="386"/>
      <c r="G267" s="386"/>
      <c r="H267" s="652"/>
      <c r="I267" s="652"/>
      <c r="J267" s="382">
        <f t="shared" si="19"/>
        <v>0</v>
      </c>
      <c r="K267" s="382">
        <f t="shared" si="20"/>
        <v>0</v>
      </c>
      <c r="L267" s="646">
        <f>IFERROR(IF(B267="funkcna poziadavka",VLOOKUP(G267,MODULY_CBA!$B$3:$E$23,4,0)*H267/SUMIFS($H$3:$H$199,$G$3:$G$199,G267,$B$3:$B$199,B267),),)</f>
        <v>0</v>
      </c>
      <c r="M267" s="382">
        <f>IFERROR(IF(B267="Funkcna poziadavka",VLOOKUP(G267,MODULY_CBA!$B$3:$E$23,3,0),),)</f>
        <v>0</v>
      </c>
      <c r="N267" s="382">
        <f>IFERROR(IF(B267="funkcna poziadavka",VLOOKUP(G267,MODULY_CBA!$B$3:$E$23,2,0),),)</f>
        <v>0</v>
      </c>
      <c r="O267" s="381">
        <f t="shared" si="21"/>
        <v>0</v>
      </c>
      <c r="P267" s="380">
        <f>IFERROR(O267*VLOOKUP(G267,MODULY_CBA!$B$3:$F$23,5,0),)</f>
        <v>0</v>
      </c>
      <c r="Q267" s="482" t="str">
        <f>IFERROR(VLOOKUP(G267,MODULY_CBA!$B$3:$I$23,6,0),"")</f>
        <v/>
      </c>
      <c r="R267" s="385"/>
      <c r="S267" s="385"/>
      <c r="T267" s="385"/>
      <c r="U267" s="385"/>
      <c r="V267" s="385"/>
      <c r="W267" s="385"/>
      <c r="X267" s="385"/>
      <c r="Y267" s="385"/>
      <c r="Z267" s="385"/>
      <c r="AA267" s="385"/>
      <c r="AB267" s="385"/>
      <c r="AC267" s="385"/>
      <c r="AD267" s="385"/>
      <c r="AE267" s="385"/>
      <c r="AF267" s="377"/>
    </row>
    <row r="268" spans="1:32">
      <c r="A268" s="404"/>
      <c r="B268" s="404"/>
      <c r="C268" s="535"/>
      <c r="D268" s="535"/>
      <c r="E268" s="535"/>
      <c r="F268" s="386"/>
      <c r="G268" s="386"/>
      <c r="H268" s="652"/>
      <c r="I268" s="652"/>
      <c r="J268" s="382">
        <f t="shared" si="19"/>
        <v>0</v>
      </c>
      <c r="K268" s="382">
        <f t="shared" si="20"/>
        <v>0</v>
      </c>
      <c r="L268" s="646">
        <f>IFERROR(IF(B268="funkcna poziadavka",VLOOKUP(G268,MODULY_CBA!$B$3:$E$23,4,0)*H268/SUMIFS($H$3:$H$199,$G$3:$G$199,G268,$B$3:$B$199,B268),),)</f>
        <v>0</v>
      </c>
      <c r="M268" s="382">
        <f>IFERROR(IF(B268="Funkcna poziadavka",VLOOKUP(G268,MODULY_CBA!$B$3:$E$23,3,0),),)</f>
        <v>0</v>
      </c>
      <c r="N268" s="382">
        <f>IFERROR(IF(B268="funkcna poziadavka",VLOOKUP(G268,MODULY_CBA!$B$3:$E$23,2,0),),)</f>
        <v>0</v>
      </c>
      <c r="O268" s="381">
        <f t="shared" si="21"/>
        <v>0</v>
      </c>
      <c r="P268" s="380">
        <f>IFERROR(O268*VLOOKUP(G268,MODULY_CBA!$B$3:$F$23,5,0),)</f>
        <v>0</v>
      </c>
      <c r="Q268" s="482" t="str">
        <f>IFERROR(VLOOKUP(G268,MODULY_CBA!$B$3:$I$23,6,0),"")</f>
        <v/>
      </c>
      <c r="R268" s="385"/>
      <c r="S268" s="385"/>
      <c r="T268" s="385"/>
      <c r="U268" s="385"/>
      <c r="V268" s="385"/>
      <c r="W268" s="385"/>
      <c r="X268" s="385"/>
      <c r="Y268" s="385"/>
      <c r="Z268" s="385"/>
      <c r="AA268" s="385"/>
      <c r="AB268" s="385"/>
      <c r="AC268" s="385"/>
      <c r="AD268" s="385"/>
      <c r="AE268" s="385"/>
      <c r="AF268" s="377"/>
    </row>
    <row r="269" spans="1:32">
      <c r="A269" s="404"/>
      <c r="B269" s="404"/>
      <c r="C269" s="535"/>
      <c r="D269" s="535"/>
      <c r="E269" s="535"/>
      <c r="F269" s="386"/>
      <c r="G269" s="386"/>
      <c r="H269" s="652"/>
      <c r="I269" s="652"/>
      <c r="J269" s="382">
        <f t="shared" si="19"/>
        <v>0</v>
      </c>
      <c r="K269" s="382">
        <f t="shared" si="20"/>
        <v>0</v>
      </c>
      <c r="L269" s="646">
        <f>IFERROR(IF(B269="funkcna poziadavka",VLOOKUP(G269,MODULY_CBA!$B$3:$E$23,4,0)*H269/SUMIFS($H$3:$H$199,$G$3:$G$199,G269,$B$3:$B$199,B269),),)</f>
        <v>0</v>
      </c>
      <c r="M269" s="382">
        <f>IFERROR(IF(B269="Funkcna poziadavka",VLOOKUP(G269,MODULY_CBA!$B$3:$E$23,3,0),),)</f>
        <v>0</v>
      </c>
      <c r="N269" s="382">
        <f>IFERROR(IF(B269="funkcna poziadavka",VLOOKUP(G269,MODULY_CBA!$B$3:$E$23,2,0),),)</f>
        <v>0</v>
      </c>
      <c r="O269" s="381">
        <f t="shared" si="21"/>
        <v>0</v>
      </c>
      <c r="P269" s="380">
        <f>IFERROR(O269*VLOOKUP(G269,MODULY_CBA!$B$3:$F$23,5,0),)</f>
        <v>0</v>
      </c>
      <c r="Q269" s="482" t="str">
        <f>IFERROR(VLOOKUP(G269,MODULY_CBA!$B$3:$I$23,6,0),"")</f>
        <v/>
      </c>
      <c r="R269" s="385"/>
      <c r="S269" s="385"/>
      <c r="T269" s="385"/>
      <c r="U269" s="385"/>
      <c r="V269" s="385"/>
      <c r="W269" s="385"/>
      <c r="X269" s="385"/>
      <c r="Y269" s="385"/>
      <c r="Z269" s="385"/>
      <c r="AA269" s="385"/>
      <c r="AB269" s="385"/>
      <c r="AC269" s="385"/>
      <c r="AD269" s="385"/>
      <c r="AE269" s="385"/>
      <c r="AF269" s="377"/>
    </row>
    <row r="270" spans="1:32">
      <c r="A270" s="404"/>
      <c r="B270" s="404"/>
      <c r="C270" s="535"/>
      <c r="D270" s="535"/>
      <c r="E270" s="535"/>
      <c r="F270" s="386"/>
      <c r="G270" s="386"/>
      <c r="H270" s="652"/>
      <c r="I270" s="652"/>
      <c r="J270" s="382">
        <f t="shared" si="19"/>
        <v>0</v>
      </c>
      <c r="K270" s="382">
        <f t="shared" si="20"/>
        <v>0</v>
      </c>
      <c r="L270" s="646">
        <f>IFERROR(IF(B270="funkcna poziadavka",VLOOKUP(G270,MODULY_CBA!$B$3:$E$23,4,0)*H270/SUMIFS($H$3:$H$199,$G$3:$G$199,G270,$B$3:$B$199,B270),),)</f>
        <v>0</v>
      </c>
      <c r="M270" s="382">
        <f>IFERROR(IF(B270="Funkcna poziadavka",VLOOKUP(G270,MODULY_CBA!$B$3:$E$23,3,0),),)</f>
        <v>0</v>
      </c>
      <c r="N270" s="382">
        <f>IFERROR(IF(B270="funkcna poziadavka",VLOOKUP(G270,MODULY_CBA!$B$3:$E$23,2,0),),)</f>
        <v>0</v>
      </c>
      <c r="O270" s="381">
        <f t="shared" si="21"/>
        <v>0</v>
      </c>
      <c r="P270" s="380">
        <f>IFERROR(O270*VLOOKUP(G270,MODULY_CBA!$B$3:$F$23,5,0),)</f>
        <v>0</v>
      </c>
      <c r="Q270" s="482" t="str">
        <f>IFERROR(VLOOKUP(G270,MODULY_CBA!$B$3:$I$23,6,0),"")</f>
        <v/>
      </c>
      <c r="R270" s="385"/>
      <c r="S270" s="385"/>
      <c r="T270" s="385"/>
      <c r="U270" s="385"/>
      <c r="V270" s="385"/>
      <c r="W270" s="385"/>
      <c r="X270" s="385"/>
      <c r="Y270" s="385"/>
      <c r="Z270" s="385"/>
      <c r="AA270" s="385"/>
      <c r="AB270" s="385"/>
      <c r="AC270" s="385"/>
      <c r="AD270" s="385"/>
      <c r="AE270" s="385"/>
      <c r="AF270" s="377"/>
    </row>
    <row r="271" spans="1:32">
      <c r="A271" s="404"/>
      <c r="B271" s="404"/>
      <c r="C271" s="535"/>
      <c r="D271" s="535"/>
      <c r="E271" s="535"/>
      <c r="F271" s="386"/>
      <c r="G271" s="386"/>
      <c r="H271" s="652"/>
      <c r="I271" s="652"/>
      <c r="J271" s="382">
        <f t="shared" si="19"/>
        <v>0</v>
      </c>
      <c r="K271" s="382">
        <f t="shared" si="20"/>
        <v>0</v>
      </c>
      <c r="L271" s="646">
        <f>IFERROR(IF(B271="funkcna poziadavka",VLOOKUP(G271,MODULY_CBA!$B$3:$E$23,4,0)*H271/SUMIFS($H$3:$H$199,$G$3:$G$199,G271,$B$3:$B$199,B271),),)</f>
        <v>0</v>
      </c>
      <c r="M271" s="382">
        <f>IFERROR(IF(B271="Funkcna poziadavka",VLOOKUP(G271,MODULY_CBA!$B$3:$E$23,3,0),),)</f>
        <v>0</v>
      </c>
      <c r="N271" s="382">
        <f>IFERROR(IF(B271="funkcna poziadavka",VLOOKUP(G271,MODULY_CBA!$B$3:$E$23,2,0),),)</f>
        <v>0</v>
      </c>
      <c r="O271" s="381">
        <f t="shared" si="21"/>
        <v>0</v>
      </c>
      <c r="P271" s="380">
        <f>IFERROR(O271*VLOOKUP(G271,MODULY_CBA!$B$3:$F$23,5,0),)</f>
        <v>0</v>
      </c>
      <c r="Q271" s="482" t="str">
        <f>IFERROR(VLOOKUP(G271,MODULY_CBA!$B$3:$I$23,6,0),"")</f>
        <v/>
      </c>
      <c r="R271" s="385"/>
      <c r="S271" s="385"/>
      <c r="T271" s="385"/>
      <c r="U271" s="385"/>
      <c r="V271" s="385"/>
      <c r="W271" s="385"/>
      <c r="X271" s="385"/>
      <c r="Y271" s="385"/>
      <c r="Z271" s="385"/>
      <c r="AA271" s="385"/>
      <c r="AB271" s="385"/>
      <c r="AC271" s="385"/>
      <c r="AD271" s="385"/>
      <c r="AE271" s="385"/>
      <c r="AF271" s="377"/>
    </row>
    <row r="272" spans="1:32">
      <c r="A272" s="404"/>
      <c r="B272" s="404"/>
      <c r="C272" s="535"/>
      <c r="D272" s="535"/>
      <c r="E272" s="535"/>
      <c r="F272" s="386"/>
      <c r="G272" s="386"/>
      <c r="H272" s="652"/>
      <c r="I272" s="652"/>
      <c r="J272" s="382">
        <f t="shared" si="19"/>
        <v>0</v>
      </c>
      <c r="K272" s="382">
        <f t="shared" si="20"/>
        <v>0</v>
      </c>
      <c r="L272" s="646">
        <f>IFERROR(IF(B272="funkcna poziadavka",VLOOKUP(G272,MODULY_CBA!$B$3:$E$23,4,0)*H272/SUMIFS($H$3:$H$199,$G$3:$G$199,G272,$B$3:$B$199,B272),),)</f>
        <v>0</v>
      </c>
      <c r="M272" s="382">
        <f>IFERROR(IF(B272="Funkcna poziadavka",VLOOKUP(G272,MODULY_CBA!$B$3:$E$23,3,0),),)</f>
        <v>0</v>
      </c>
      <c r="N272" s="382">
        <f>IFERROR(IF(B272="funkcna poziadavka",VLOOKUP(G272,MODULY_CBA!$B$3:$E$23,2,0),),)</f>
        <v>0</v>
      </c>
      <c r="O272" s="381">
        <f t="shared" si="21"/>
        <v>0</v>
      </c>
      <c r="P272" s="380">
        <f>IFERROR(O272*VLOOKUP(G272,MODULY_CBA!$B$3:$F$23,5,0),)</f>
        <v>0</v>
      </c>
      <c r="Q272" s="482" t="str">
        <f>IFERROR(VLOOKUP(G272,MODULY_CBA!$B$3:$I$23,6,0),"")</f>
        <v/>
      </c>
      <c r="R272" s="385"/>
      <c r="S272" s="385"/>
      <c r="T272" s="385"/>
      <c r="U272" s="385"/>
      <c r="V272" s="385"/>
      <c r="W272" s="385"/>
      <c r="X272" s="385"/>
      <c r="Y272" s="385"/>
      <c r="Z272" s="385"/>
      <c r="AA272" s="385"/>
      <c r="AB272" s="385"/>
      <c r="AC272" s="385"/>
      <c r="AD272" s="385"/>
      <c r="AE272" s="385"/>
      <c r="AF272" s="377"/>
    </row>
    <row r="273" spans="1:32">
      <c r="A273" s="404"/>
      <c r="B273" s="404"/>
      <c r="C273" s="535"/>
      <c r="D273" s="535"/>
      <c r="E273" s="535"/>
      <c r="F273" s="386"/>
      <c r="G273" s="386"/>
      <c r="H273" s="652"/>
      <c r="I273" s="652"/>
      <c r="J273" s="382">
        <f t="shared" si="19"/>
        <v>0</v>
      </c>
      <c r="K273" s="382">
        <f t="shared" si="20"/>
        <v>0</v>
      </c>
      <c r="L273" s="646">
        <f>IFERROR(IF(B273="funkcna poziadavka",VLOOKUP(G273,MODULY_CBA!$B$3:$E$23,4,0)*H273/SUMIFS($H$3:$H$199,$G$3:$G$199,G273,$B$3:$B$199,B273),),)</f>
        <v>0</v>
      </c>
      <c r="M273" s="382">
        <f>IFERROR(IF(B273="Funkcna poziadavka",VLOOKUP(G273,MODULY_CBA!$B$3:$E$23,3,0),),)</f>
        <v>0</v>
      </c>
      <c r="N273" s="382">
        <f>IFERROR(IF(B273="funkcna poziadavka",VLOOKUP(G273,MODULY_CBA!$B$3:$E$23,2,0),),)</f>
        <v>0</v>
      </c>
      <c r="O273" s="381">
        <f t="shared" si="21"/>
        <v>0</v>
      </c>
      <c r="P273" s="380">
        <f>IFERROR(O273*VLOOKUP(G273,MODULY_CBA!$B$3:$F$23,5,0),)</f>
        <v>0</v>
      </c>
      <c r="Q273" s="482" t="str">
        <f>IFERROR(VLOOKUP(G273,MODULY_CBA!$B$3:$I$23,6,0),"")</f>
        <v/>
      </c>
      <c r="R273" s="385"/>
      <c r="S273" s="385"/>
      <c r="T273" s="385"/>
      <c r="U273" s="385"/>
      <c r="V273" s="385"/>
      <c r="W273" s="385"/>
      <c r="X273" s="385"/>
      <c r="Y273" s="385"/>
      <c r="Z273" s="385"/>
      <c r="AA273" s="385"/>
      <c r="AB273" s="385"/>
      <c r="AC273" s="385"/>
      <c r="AD273" s="385"/>
      <c r="AE273" s="385"/>
      <c r="AF273" s="377"/>
    </row>
    <row r="274" spans="1:32">
      <c r="A274" s="404"/>
      <c r="B274" s="404"/>
      <c r="C274" s="535"/>
      <c r="D274" s="535"/>
      <c r="E274" s="535"/>
      <c r="F274" s="386"/>
      <c r="G274" s="386"/>
      <c r="H274" s="652"/>
      <c r="I274" s="652"/>
      <c r="J274" s="382">
        <f t="shared" si="19"/>
        <v>0</v>
      </c>
      <c r="K274" s="382">
        <f t="shared" si="20"/>
        <v>0</v>
      </c>
      <c r="L274" s="646">
        <f>IFERROR(IF(B274="funkcna poziadavka",VLOOKUP(G274,MODULY_CBA!$B$3:$E$23,4,0)*H274/SUMIFS($H$3:$H$199,$G$3:$G$199,G274,$B$3:$B$199,B274),),)</f>
        <v>0</v>
      </c>
      <c r="M274" s="382">
        <f>IFERROR(IF(B274="Funkcna poziadavka",VLOOKUP(G274,MODULY_CBA!$B$3:$E$23,3,0),),)</f>
        <v>0</v>
      </c>
      <c r="N274" s="382">
        <f>IFERROR(IF(B274="funkcna poziadavka",VLOOKUP(G274,MODULY_CBA!$B$3:$E$23,2,0),),)</f>
        <v>0</v>
      </c>
      <c r="O274" s="381">
        <f t="shared" si="21"/>
        <v>0</v>
      </c>
      <c r="P274" s="380">
        <f>IFERROR(O274*VLOOKUP(G274,MODULY_CBA!$B$3:$F$23,5,0),)</f>
        <v>0</v>
      </c>
      <c r="Q274" s="482" t="str">
        <f>IFERROR(VLOOKUP(G274,MODULY_CBA!$B$3:$I$23,6,0),"")</f>
        <v/>
      </c>
      <c r="R274" s="385"/>
      <c r="S274" s="385"/>
      <c r="T274" s="385"/>
      <c r="U274" s="385"/>
      <c r="V274" s="385"/>
      <c r="W274" s="385"/>
      <c r="X274" s="385"/>
      <c r="Y274" s="385"/>
      <c r="Z274" s="385"/>
      <c r="AA274" s="385"/>
      <c r="AB274" s="385"/>
      <c r="AC274" s="385"/>
      <c r="AD274" s="385"/>
      <c r="AE274" s="385"/>
      <c r="AF274" s="377"/>
    </row>
    <row r="275" spans="1:32">
      <c r="A275" s="404"/>
      <c r="B275" s="404"/>
      <c r="C275" s="535"/>
      <c r="D275" s="535"/>
      <c r="E275" s="535"/>
      <c r="F275" s="386"/>
      <c r="G275" s="386"/>
      <c r="H275" s="652"/>
      <c r="I275" s="652"/>
      <c r="J275" s="382">
        <f t="shared" si="19"/>
        <v>0</v>
      </c>
      <c r="K275" s="382">
        <f t="shared" si="20"/>
        <v>0</v>
      </c>
      <c r="L275" s="646">
        <f>IFERROR(IF(B275="funkcna poziadavka",VLOOKUP(G275,MODULY_CBA!$B$3:$E$23,4,0)*H275/SUMIFS($H$3:$H$199,$G$3:$G$199,G275,$B$3:$B$199,B275),),)</f>
        <v>0</v>
      </c>
      <c r="M275" s="382">
        <f>IFERROR(IF(B275="Funkcna poziadavka",VLOOKUP(G275,MODULY_CBA!$B$3:$E$23,3,0),),)</f>
        <v>0</v>
      </c>
      <c r="N275" s="382">
        <f>IFERROR(IF(B275="funkcna poziadavka",VLOOKUP(G275,MODULY_CBA!$B$3:$E$23,2,0),),)</f>
        <v>0</v>
      </c>
      <c r="O275" s="381">
        <f t="shared" si="21"/>
        <v>0</v>
      </c>
      <c r="P275" s="380">
        <f>IFERROR(O275*VLOOKUP(G275,MODULY_CBA!$B$3:$F$23,5,0),)</f>
        <v>0</v>
      </c>
      <c r="Q275" s="482" t="str">
        <f>IFERROR(VLOOKUP(G275,MODULY_CBA!$B$3:$I$23,6,0),"")</f>
        <v/>
      </c>
      <c r="R275" s="385"/>
      <c r="S275" s="385"/>
      <c r="T275" s="385"/>
      <c r="U275" s="385"/>
      <c r="V275" s="385"/>
      <c r="W275" s="385"/>
      <c r="X275" s="385"/>
      <c r="Y275" s="385"/>
      <c r="Z275" s="385"/>
      <c r="AA275" s="385"/>
      <c r="AB275" s="385"/>
      <c r="AC275" s="385"/>
      <c r="AD275" s="385"/>
      <c r="AE275" s="385"/>
      <c r="AF275" s="377"/>
    </row>
    <row r="276" spans="1:32">
      <c r="A276" s="404"/>
      <c r="B276" s="404"/>
      <c r="C276" s="535"/>
      <c r="D276" s="535"/>
      <c r="E276" s="535"/>
      <c r="F276" s="386"/>
      <c r="G276" s="386"/>
      <c r="H276" s="652"/>
      <c r="I276" s="652"/>
      <c r="J276" s="382">
        <f t="shared" si="19"/>
        <v>0</v>
      </c>
      <c r="K276" s="382">
        <f t="shared" si="20"/>
        <v>0</v>
      </c>
      <c r="L276" s="646">
        <f>IFERROR(IF(B276="funkcna poziadavka",VLOOKUP(G276,MODULY_CBA!$B$3:$E$23,4,0)*H276/SUMIFS($H$3:$H$199,$G$3:$G$199,G276,$B$3:$B$199,B276),),)</f>
        <v>0</v>
      </c>
      <c r="M276" s="382">
        <f>IFERROR(IF(B276="Funkcna poziadavka",VLOOKUP(G276,MODULY_CBA!$B$3:$E$23,3,0),),)</f>
        <v>0</v>
      </c>
      <c r="N276" s="382">
        <f>IFERROR(IF(B276="funkcna poziadavka",VLOOKUP(G276,MODULY_CBA!$B$3:$E$23,2,0),),)</f>
        <v>0</v>
      </c>
      <c r="O276" s="381">
        <f t="shared" si="21"/>
        <v>0</v>
      </c>
      <c r="P276" s="380">
        <f>IFERROR(O276*VLOOKUP(G276,MODULY_CBA!$B$3:$F$23,5,0),)</f>
        <v>0</v>
      </c>
      <c r="Q276" s="482" t="str">
        <f>IFERROR(VLOOKUP(G276,MODULY_CBA!$B$3:$I$23,6,0),"")</f>
        <v/>
      </c>
      <c r="R276" s="385"/>
      <c r="S276" s="385"/>
      <c r="T276" s="385"/>
      <c r="U276" s="385"/>
      <c r="V276" s="385"/>
      <c r="W276" s="385"/>
      <c r="X276" s="385"/>
      <c r="Y276" s="385"/>
      <c r="Z276" s="385"/>
      <c r="AA276" s="385"/>
      <c r="AB276" s="385"/>
      <c r="AC276" s="385"/>
      <c r="AD276" s="385"/>
      <c r="AE276" s="385"/>
      <c r="AF276" s="377"/>
    </row>
    <row r="277" spans="1:32">
      <c r="A277" s="404"/>
      <c r="B277" s="404"/>
      <c r="C277" s="535"/>
      <c r="D277" s="535"/>
      <c r="E277" s="535"/>
      <c r="F277" s="386"/>
      <c r="G277" s="386"/>
      <c r="H277" s="652"/>
      <c r="I277" s="652"/>
      <c r="J277" s="382">
        <f t="shared" si="19"/>
        <v>0</v>
      </c>
      <c r="K277" s="382">
        <f t="shared" si="20"/>
        <v>0</v>
      </c>
      <c r="L277" s="646">
        <f>IFERROR(IF(B277="funkcna poziadavka",VLOOKUP(G277,MODULY_CBA!$B$3:$E$23,4,0)*H277/SUMIFS($H$3:$H$199,$G$3:$G$199,G277,$B$3:$B$199,B277),),)</f>
        <v>0</v>
      </c>
      <c r="M277" s="382">
        <f>IFERROR(IF(B277="Funkcna poziadavka",VLOOKUP(G277,MODULY_CBA!$B$3:$E$23,3,0),),)</f>
        <v>0</v>
      </c>
      <c r="N277" s="382">
        <f>IFERROR(IF(B277="funkcna poziadavka",VLOOKUP(G277,MODULY_CBA!$B$3:$E$23,2,0),),)</f>
        <v>0</v>
      </c>
      <c r="O277" s="381">
        <f t="shared" si="21"/>
        <v>0</v>
      </c>
      <c r="P277" s="380">
        <f>IFERROR(O277*VLOOKUP(G277,MODULY_CBA!$B$3:$F$23,5,0),)</f>
        <v>0</v>
      </c>
      <c r="Q277" s="482" t="str">
        <f>IFERROR(VLOOKUP(G277,MODULY_CBA!$B$3:$I$23,6,0),"")</f>
        <v/>
      </c>
      <c r="R277" s="385"/>
      <c r="S277" s="385"/>
      <c r="T277" s="385"/>
      <c r="U277" s="385"/>
      <c r="V277" s="385"/>
      <c r="W277" s="385"/>
      <c r="X277" s="385"/>
      <c r="Y277" s="385"/>
      <c r="Z277" s="385"/>
      <c r="AA277" s="385"/>
      <c r="AB277" s="385"/>
      <c r="AC277" s="385"/>
      <c r="AD277" s="385"/>
      <c r="AE277" s="385"/>
      <c r="AF277" s="377"/>
    </row>
    <row r="278" spans="1:32">
      <c r="A278" s="404"/>
      <c r="B278" s="404"/>
      <c r="C278" s="535"/>
      <c r="D278" s="535"/>
      <c r="E278" s="535"/>
      <c r="F278" s="386"/>
      <c r="G278" s="386"/>
      <c r="H278" s="652"/>
      <c r="I278" s="652"/>
      <c r="J278" s="382">
        <f t="shared" si="19"/>
        <v>0</v>
      </c>
      <c r="K278" s="382">
        <f t="shared" si="20"/>
        <v>0</v>
      </c>
      <c r="L278" s="646">
        <f>IFERROR(IF(B278="funkcna poziadavka",VLOOKUP(G278,MODULY_CBA!$B$3:$E$23,4,0)*H278/SUMIFS($H$3:$H$199,$G$3:$G$199,G278,$B$3:$B$199,B278),),)</f>
        <v>0</v>
      </c>
      <c r="M278" s="382">
        <f>IFERROR(IF(B278="Funkcna poziadavka",VLOOKUP(G278,MODULY_CBA!$B$3:$E$23,3,0),),)</f>
        <v>0</v>
      </c>
      <c r="N278" s="382">
        <f>IFERROR(IF(B278="funkcna poziadavka",VLOOKUP(G278,MODULY_CBA!$B$3:$E$23,2,0),),)</f>
        <v>0</v>
      </c>
      <c r="O278" s="381">
        <f t="shared" si="21"/>
        <v>0</v>
      </c>
      <c r="P278" s="380">
        <f>IFERROR(O278*VLOOKUP(G278,MODULY_CBA!$B$3:$F$23,5,0),)</f>
        <v>0</v>
      </c>
      <c r="Q278" s="482" t="str">
        <f>IFERROR(VLOOKUP(G278,MODULY_CBA!$B$3:$I$23,6,0),"")</f>
        <v/>
      </c>
      <c r="R278" s="385"/>
      <c r="S278" s="385"/>
      <c r="T278" s="385"/>
      <c r="U278" s="385"/>
      <c r="V278" s="385"/>
      <c r="W278" s="385"/>
      <c r="X278" s="385"/>
      <c r="Y278" s="385"/>
      <c r="Z278" s="385"/>
      <c r="AA278" s="385"/>
      <c r="AB278" s="385"/>
      <c r="AC278" s="385"/>
      <c r="AD278" s="385"/>
      <c r="AE278" s="385"/>
      <c r="AF278" s="377"/>
    </row>
    <row r="279" spans="1:32">
      <c r="A279" s="404"/>
      <c r="B279" s="404"/>
      <c r="C279" s="535"/>
      <c r="D279" s="535"/>
      <c r="E279" s="535"/>
      <c r="F279" s="386"/>
      <c r="G279" s="386"/>
      <c r="H279" s="652"/>
      <c r="I279" s="652"/>
      <c r="J279" s="382">
        <f t="shared" si="19"/>
        <v>0</v>
      </c>
      <c r="K279" s="382">
        <f t="shared" si="20"/>
        <v>0</v>
      </c>
      <c r="L279" s="646">
        <f>IFERROR(IF(B279="funkcna poziadavka",VLOOKUP(G279,MODULY_CBA!$B$3:$E$23,4,0)*H279/SUMIFS($H$3:$H$199,$G$3:$G$199,G279,$B$3:$B$199,B279),),)</f>
        <v>0</v>
      </c>
      <c r="M279" s="382">
        <f>IFERROR(IF(B279="Funkcna poziadavka",VLOOKUP(G279,MODULY_CBA!$B$3:$E$23,3,0),),)</f>
        <v>0</v>
      </c>
      <c r="N279" s="382">
        <f>IFERROR(IF(B279="funkcna poziadavka",VLOOKUP(G279,MODULY_CBA!$B$3:$E$23,2,0),),)</f>
        <v>0</v>
      </c>
      <c r="O279" s="381">
        <f t="shared" si="21"/>
        <v>0</v>
      </c>
      <c r="P279" s="380">
        <f>IFERROR(O279*VLOOKUP(G279,MODULY_CBA!$B$3:$F$23,5,0),)</f>
        <v>0</v>
      </c>
      <c r="Q279" s="482" t="str">
        <f>IFERROR(VLOOKUP(G279,MODULY_CBA!$B$3:$I$23,6,0),"")</f>
        <v/>
      </c>
      <c r="R279" s="385"/>
      <c r="S279" s="385"/>
      <c r="T279" s="385"/>
      <c r="U279" s="385"/>
      <c r="V279" s="385"/>
      <c r="W279" s="385"/>
      <c r="X279" s="385"/>
      <c r="Y279" s="385"/>
      <c r="Z279" s="385"/>
      <c r="AA279" s="385"/>
      <c r="AB279" s="385"/>
      <c r="AC279" s="385"/>
      <c r="AD279" s="385"/>
      <c r="AE279" s="385"/>
      <c r="AF279" s="377"/>
    </row>
    <row r="280" spans="1:32">
      <c r="A280" s="404"/>
      <c r="B280" s="404"/>
      <c r="C280" s="535"/>
      <c r="D280" s="535"/>
      <c r="E280" s="535"/>
      <c r="F280" s="386"/>
      <c r="G280" s="386"/>
      <c r="H280" s="652"/>
      <c r="I280" s="652"/>
      <c r="J280" s="382">
        <f t="shared" si="19"/>
        <v>0</v>
      </c>
      <c r="K280" s="382">
        <f t="shared" si="20"/>
        <v>0</v>
      </c>
      <c r="L280" s="646">
        <f>IFERROR(IF(B280="funkcna poziadavka",VLOOKUP(G280,MODULY_CBA!$B$3:$E$23,4,0)*H280/SUMIFS($H$3:$H$199,$G$3:$G$199,G280,$B$3:$B$199,B280),),)</f>
        <v>0</v>
      </c>
      <c r="M280" s="382">
        <f>IFERROR(IF(B280="Funkcna poziadavka",VLOOKUP(G280,MODULY_CBA!$B$3:$E$23,3,0),),)</f>
        <v>0</v>
      </c>
      <c r="N280" s="382">
        <f>IFERROR(IF(B280="funkcna poziadavka",VLOOKUP(G280,MODULY_CBA!$B$3:$E$23,2,0),),)</f>
        <v>0</v>
      </c>
      <c r="O280" s="381">
        <f t="shared" si="21"/>
        <v>0</v>
      </c>
      <c r="P280" s="380">
        <f>IFERROR(O280*VLOOKUP(G280,MODULY_CBA!$B$3:$F$23,5,0),)</f>
        <v>0</v>
      </c>
      <c r="Q280" s="482" t="str">
        <f>IFERROR(VLOOKUP(G280,MODULY_CBA!$B$3:$I$23,6,0),"")</f>
        <v/>
      </c>
      <c r="R280" s="385"/>
      <c r="S280" s="385"/>
      <c r="T280" s="385"/>
      <c r="U280" s="385"/>
      <c r="V280" s="385"/>
      <c r="W280" s="385"/>
      <c r="X280" s="385"/>
      <c r="Y280" s="385"/>
      <c r="Z280" s="385"/>
      <c r="AA280" s="385"/>
      <c r="AB280" s="385"/>
      <c r="AC280" s="385"/>
      <c r="AD280" s="385"/>
      <c r="AE280" s="385"/>
      <c r="AF280" s="377"/>
    </row>
    <row r="281" spans="1:32">
      <c r="A281" s="404"/>
      <c r="B281" s="404"/>
      <c r="C281" s="535"/>
      <c r="D281" s="535"/>
      <c r="E281" s="535"/>
      <c r="F281" s="386"/>
      <c r="G281" s="386"/>
      <c r="H281" s="652"/>
      <c r="I281" s="652"/>
      <c r="J281" s="382">
        <f t="shared" si="19"/>
        <v>0</v>
      </c>
      <c r="K281" s="382">
        <f t="shared" si="20"/>
        <v>0</v>
      </c>
      <c r="L281" s="646">
        <f>IFERROR(IF(B281="funkcna poziadavka",VLOOKUP(G281,MODULY_CBA!$B$3:$E$23,4,0)*H281/SUMIFS($H$3:$H$199,$G$3:$G$199,G281,$B$3:$B$199,B281),),)</f>
        <v>0</v>
      </c>
      <c r="M281" s="382">
        <f>IFERROR(IF(B281="Funkcna poziadavka",VLOOKUP(G281,MODULY_CBA!$B$3:$E$23,3,0),),)</f>
        <v>0</v>
      </c>
      <c r="N281" s="382">
        <f>IFERROR(IF(B281="funkcna poziadavka",VLOOKUP(G281,MODULY_CBA!$B$3:$E$23,2,0),),)</f>
        <v>0</v>
      </c>
      <c r="O281" s="381">
        <f t="shared" si="21"/>
        <v>0</v>
      </c>
      <c r="P281" s="380">
        <f>IFERROR(O281*VLOOKUP(G281,MODULY_CBA!$B$3:$F$23,5,0),)</f>
        <v>0</v>
      </c>
      <c r="Q281" s="482" t="str">
        <f>IFERROR(VLOOKUP(G281,MODULY_CBA!$B$3:$I$23,6,0),"")</f>
        <v/>
      </c>
      <c r="R281" s="385"/>
      <c r="S281" s="385"/>
      <c r="T281" s="385"/>
      <c r="U281" s="385"/>
      <c r="V281" s="385"/>
      <c r="W281" s="385"/>
      <c r="X281" s="385"/>
      <c r="Y281" s="385"/>
      <c r="Z281" s="385"/>
      <c r="AA281" s="385"/>
      <c r="AB281" s="385"/>
      <c r="AC281" s="385"/>
      <c r="AD281" s="385"/>
      <c r="AE281" s="385"/>
      <c r="AF281" s="377"/>
    </row>
    <row r="282" spans="1:32">
      <c r="A282" s="404"/>
      <c r="B282" s="404"/>
      <c r="C282" s="535"/>
      <c r="D282" s="535"/>
      <c r="E282" s="535"/>
      <c r="F282" s="386"/>
      <c r="G282" s="386"/>
      <c r="H282" s="652"/>
      <c r="I282" s="652"/>
      <c r="J282" s="382">
        <f t="shared" si="19"/>
        <v>0</v>
      </c>
      <c r="K282" s="382">
        <f t="shared" si="20"/>
        <v>0</v>
      </c>
      <c r="L282" s="646">
        <f>IFERROR(IF(B282="funkcna poziadavka",VLOOKUP(G282,MODULY_CBA!$B$3:$E$23,4,0)*H282/SUMIFS($H$3:$H$199,$G$3:$G$199,G282,$B$3:$B$199,B282),),)</f>
        <v>0</v>
      </c>
      <c r="M282" s="382">
        <f>IFERROR(IF(B282="Funkcna poziadavka",VLOOKUP(G282,MODULY_CBA!$B$3:$E$23,3,0),),)</f>
        <v>0</v>
      </c>
      <c r="N282" s="382">
        <f>IFERROR(IF(B282="funkcna poziadavka",VLOOKUP(G282,MODULY_CBA!$B$3:$E$23,2,0),),)</f>
        <v>0</v>
      </c>
      <c r="O282" s="381">
        <f t="shared" si="21"/>
        <v>0</v>
      </c>
      <c r="P282" s="380">
        <f>IFERROR(O282*VLOOKUP(G282,MODULY_CBA!$B$3:$F$23,5,0),)</f>
        <v>0</v>
      </c>
      <c r="Q282" s="482" t="str">
        <f>IFERROR(VLOOKUP(G282,MODULY_CBA!$B$3:$I$23,6,0),"")</f>
        <v/>
      </c>
      <c r="R282" s="385"/>
      <c r="S282" s="385"/>
      <c r="T282" s="385"/>
      <c r="U282" s="385"/>
      <c r="V282" s="385"/>
      <c r="W282" s="385"/>
      <c r="X282" s="385"/>
      <c r="Y282" s="385"/>
      <c r="Z282" s="385"/>
      <c r="AA282" s="385"/>
      <c r="AB282" s="385"/>
      <c r="AC282" s="385"/>
      <c r="AD282" s="385"/>
      <c r="AE282" s="385"/>
      <c r="AF282" s="377"/>
    </row>
    <row r="283" spans="1:32">
      <c r="A283" s="404"/>
      <c r="B283" s="404"/>
      <c r="C283" s="535"/>
      <c r="D283" s="535"/>
      <c r="E283" s="535"/>
      <c r="F283" s="386"/>
      <c r="G283" s="386"/>
      <c r="H283" s="652"/>
      <c r="I283" s="652"/>
      <c r="J283" s="382">
        <f t="shared" si="19"/>
        <v>0</v>
      </c>
      <c r="K283" s="382">
        <f t="shared" si="20"/>
        <v>0</v>
      </c>
      <c r="L283" s="646">
        <f>IFERROR(IF(B283="funkcna poziadavka",VLOOKUP(G283,MODULY_CBA!$B$3:$E$23,4,0)*H283/SUMIFS($H$3:$H$199,$G$3:$G$199,G283,$B$3:$B$199,B283),),)</f>
        <v>0</v>
      </c>
      <c r="M283" s="382">
        <f>IFERROR(IF(B283="Funkcna poziadavka",VLOOKUP(G283,MODULY_CBA!$B$3:$E$23,3,0),),)</f>
        <v>0</v>
      </c>
      <c r="N283" s="382">
        <f>IFERROR(IF(B283="funkcna poziadavka",VLOOKUP(G283,MODULY_CBA!$B$3:$E$23,2,0),),)</f>
        <v>0</v>
      </c>
      <c r="O283" s="381">
        <f t="shared" si="21"/>
        <v>0</v>
      </c>
      <c r="P283" s="380">
        <f>IFERROR(O283*VLOOKUP(G283,MODULY_CBA!$B$3:$F$23,5,0),)</f>
        <v>0</v>
      </c>
      <c r="Q283" s="482" t="str">
        <f>IFERROR(VLOOKUP(G283,MODULY_CBA!$B$3:$I$23,6,0),"")</f>
        <v/>
      </c>
      <c r="R283" s="385"/>
      <c r="S283" s="385"/>
      <c r="T283" s="385"/>
      <c r="U283" s="385"/>
      <c r="V283" s="385"/>
      <c r="W283" s="385"/>
      <c r="X283" s="385"/>
      <c r="Y283" s="385"/>
      <c r="Z283" s="385"/>
      <c r="AA283" s="385"/>
      <c r="AB283" s="385"/>
      <c r="AC283" s="385"/>
      <c r="AD283" s="385"/>
      <c r="AE283" s="385"/>
      <c r="AF283" s="377"/>
    </row>
    <row r="284" spans="1:32">
      <c r="A284" s="404"/>
      <c r="B284" s="404"/>
      <c r="C284" s="535"/>
      <c r="D284" s="535"/>
      <c r="E284" s="535"/>
      <c r="F284" s="386"/>
      <c r="G284" s="386"/>
      <c r="H284" s="652"/>
      <c r="I284" s="652"/>
      <c r="J284" s="382">
        <f t="shared" si="19"/>
        <v>0</v>
      </c>
      <c r="K284" s="382">
        <f t="shared" si="20"/>
        <v>0</v>
      </c>
      <c r="L284" s="646">
        <f>IFERROR(IF(B284="funkcna poziadavka",VLOOKUP(G284,MODULY_CBA!$B$3:$E$23,4,0)*H284/SUMIFS($H$3:$H$199,$G$3:$G$199,G284,$B$3:$B$199,B284),),)</f>
        <v>0</v>
      </c>
      <c r="M284" s="382">
        <f>IFERROR(IF(B284="Funkcna poziadavka",VLOOKUP(G284,MODULY_CBA!$B$3:$E$23,3,0),),)</f>
        <v>0</v>
      </c>
      <c r="N284" s="382">
        <f>IFERROR(IF(B284="funkcna poziadavka",VLOOKUP(G284,MODULY_CBA!$B$3:$E$23,2,0),),)</f>
        <v>0</v>
      </c>
      <c r="O284" s="381">
        <f t="shared" si="21"/>
        <v>0</v>
      </c>
      <c r="P284" s="380">
        <f>IFERROR(O284*VLOOKUP(G284,MODULY_CBA!$B$3:$F$23,5,0),)</f>
        <v>0</v>
      </c>
      <c r="Q284" s="482" t="str">
        <f>IFERROR(VLOOKUP(G284,MODULY_CBA!$B$3:$I$23,6,0),"")</f>
        <v/>
      </c>
      <c r="R284" s="385"/>
      <c r="S284" s="385"/>
      <c r="T284" s="385"/>
      <c r="U284" s="385"/>
      <c r="V284" s="385"/>
      <c r="W284" s="385"/>
      <c r="X284" s="385"/>
      <c r="Y284" s="385"/>
      <c r="Z284" s="385"/>
      <c r="AA284" s="385"/>
      <c r="AB284" s="385"/>
      <c r="AC284" s="385"/>
      <c r="AD284" s="385"/>
      <c r="AE284" s="385"/>
      <c r="AF284" s="377"/>
    </row>
    <row r="285" spans="1:32">
      <c r="A285" s="404"/>
      <c r="B285" s="404"/>
      <c r="C285" s="535"/>
      <c r="D285" s="535"/>
      <c r="E285" s="535"/>
      <c r="F285" s="386"/>
      <c r="G285" s="386"/>
      <c r="H285" s="652"/>
      <c r="I285" s="652"/>
      <c r="J285" s="382">
        <f t="shared" si="19"/>
        <v>0</v>
      </c>
      <c r="K285" s="382">
        <f t="shared" si="20"/>
        <v>0</v>
      </c>
      <c r="L285" s="646">
        <f>IFERROR(IF(B285="funkcna poziadavka",VLOOKUP(G285,MODULY_CBA!$B$3:$E$23,4,0)*H285/SUMIFS($H$3:$H$199,$G$3:$G$199,G285,$B$3:$B$199,B285),),)</f>
        <v>0</v>
      </c>
      <c r="M285" s="382">
        <f>IFERROR(IF(B285="Funkcna poziadavka",VLOOKUP(G285,MODULY_CBA!$B$3:$E$23,3,0),),)</f>
        <v>0</v>
      </c>
      <c r="N285" s="382">
        <f>IFERROR(IF(B285="funkcna poziadavka",VLOOKUP(G285,MODULY_CBA!$B$3:$E$23,2,0),),)</f>
        <v>0</v>
      </c>
      <c r="O285" s="381">
        <f t="shared" si="21"/>
        <v>0</v>
      </c>
      <c r="P285" s="380">
        <f>IFERROR(O285*VLOOKUP(G285,MODULY_CBA!$B$3:$F$23,5,0),)</f>
        <v>0</v>
      </c>
      <c r="Q285" s="482" t="str">
        <f>IFERROR(VLOOKUP(G285,MODULY_CBA!$B$3:$I$23,6,0),"")</f>
        <v/>
      </c>
      <c r="R285" s="385"/>
      <c r="S285" s="385"/>
      <c r="T285" s="385"/>
      <c r="U285" s="385"/>
      <c r="V285" s="385"/>
      <c r="W285" s="385"/>
      <c r="X285" s="385"/>
      <c r="Y285" s="385"/>
      <c r="Z285" s="385"/>
      <c r="AA285" s="385"/>
      <c r="AB285" s="385"/>
      <c r="AC285" s="385"/>
      <c r="AD285" s="385"/>
      <c r="AE285" s="385"/>
      <c r="AF285" s="377"/>
    </row>
    <row r="286" spans="1:32">
      <c r="A286" s="404"/>
      <c r="B286" s="404"/>
      <c r="C286" s="535"/>
      <c r="D286" s="535"/>
      <c r="E286" s="535"/>
      <c r="F286" s="386"/>
      <c r="G286" s="386"/>
      <c r="H286" s="652"/>
      <c r="I286" s="652"/>
      <c r="J286" s="382">
        <f t="shared" si="19"/>
        <v>0</v>
      </c>
      <c r="K286" s="382">
        <f t="shared" si="20"/>
        <v>0</v>
      </c>
      <c r="L286" s="646">
        <f>IFERROR(IF(B286="funkcna poziadavka",VLOOKUP(G286,MODULY_CBA!$B$3:$E$23,4,0)*H286/SUMIFS($H$3:$H$199,$G$3:$G$199,G286,$B$3:$B$199,B286),),)</f>
        <v>0</v>
      </c>
      <c r="M286" s="382">
        <f>IFERROR(IF(B286="Funkcna poziadavka",VLOOKUP(G286,MODULY_CBA!$B$3:$E$23,3,0),),)</f>
        <v>0</v>
      </c>
      <c r="N286" s="382">
        <f>IFERROR(IF(B286="funkcna poziadavka",VLOOKUP(G286,MODULY_CBA!$B$3:$E$23,2,0),),)</f>
        <v>0</v>
      </c>
      <c r="O286" s="381">
        <f t="shared" si="21"/>
        <v>0</v>
      </c>
      <c r="P286" s="380">
        <f>IFERROR(O286*VLOOKUP(G286,MODULY_CBA!$B$3:$F$23,5,0),)</f>
        <v>0</v>
      </c>
      <c r="Q286" s="482" t="str">
        <f>IFERROR(VLOOKUP(G286,MODULY_CBA!$B$3:$I$23,6,0),"")</f>
        <v/>
      </c>
      <c r="R286" s="385"/>
      <c r="S286" s="385"/>
      <c r="T286" s="385"/>
      <c r="U286" s="385"/>
      <c r="V286" s="385"/>
      <c r="W286" s="385"/>
      <c r="X286" s="385"/>
      <c r="Y286" s="385"/>
      <c r="Z286" s="385"/>
      <c r="AA286" s="385"/>
      <c r="AB286" s="385"/>
      <c r="AC286" s="385"/>
      <c r="AD286" s="385"/>
      <c r="AE286" s="385"/>
      <c r="AF286" s="377"/>
    </row>
    <row r="287" spans="1:32">
      <c r="A287" s="404"/>
      <c r="B287" s="404"/>
      <c r="C287" s="535"/>
      <c r="D287" s="535"/>
      <c r="E287" s="535"/>
      <c r="F287" s="386"/>
      <c r="G287" s="386"/>
      <c r="H287" s="652"/>
      <c r="I287" s="652"/>
      <c r="J287" s="382">
        <f t="shared" si="19"/>
        <v>0</v>
      </c>
      <c r="K287" s="382">
        <f t="shared" si="20"/>
        <v>0</v>
      </c>
      <c r="L287" s="646">
        <f>IFERROR(IF(B287="funkcna poziadavka",VLOOKUP(G287,MODULY_CBA!$B$3:$E$23,4,0)*H287/SUMIFS($H$3:$H$199,$G$3:$G$199,G287,$B$3:$B$199,B287),),)</f>
        <v>0</v>
      </c>
      <c r="M287" s="382">
        <f>IFERROR(IF(B287="Funkcna poziadavka",VLOOKUP(G287,MODULY_CBA!$B$3:$E$23,3,0),),)</f>
        <v>0</v>
      </c>
      <c r="N287" s="382">
        <f>IFERROR(IF(B287="funkcna poziadavka",VLOOKUP(G287,MODULY_CBA!$B$3:$E$23,2,0),),)</f>
        <v>0</v>
      </c>
      <c r="O287" s="381">
        <f t="shared" si="21"/>
        <v>0</v>
      </c>
      <c r="P287" s="380">
        <f>IFERROR(O287*VLOOKUP(G287,MODULY_CBA!$B$3:$F$23,5,0),)</f>
        <v>0</v>
      </c>
      <c r="Q287" s="482" t="str">
        <f>IFERROR(VLOOKUP(G287,MODULY_CBA!$B$3:$I$23,6,0),"")</f>
        <v/>
      </c>
      <c r="R287" s="385"/>
      <c r="S287" s="385"/>
      <c r="T287" s="385"/>
      <c r="U287" s="385"/>
      <c r="V287" s="385"/>
      <c r="W287" s="385"/>
      <c r="X287" s="385"/>
      <c r="Y287" s="385"/>
      <c r="Z287" s="385"/>
      <c r="AA287" s="385"/>
      <c r="AB287" s="385"/>
      <c r="AC287" s="385"/>
      <c r="AD287" s="385"/>
      <c r="AE287" s="385"/>
      <c r="AF287" s="377"/>
    </row>
    <row r="288" spans="1:32">
      <c r="A288" s="404"/>
      <c r="B288" s="404"/>
      <c r="C288" s="535"/>
      <c r="D288" s="535"/>
      <c r="E288" s="535"/>
      <c r="F288" s="386"/>
      <c r="G288" s="386"/>
      <c r="H288" s="652"/>
      <c r="I288" s="652"/>
      <c r="J288" s="382">
        <f t="shared" si="19"/>
        <v>0</v>
      </c>
      <c r="K288" s="382">
        <f t="shared" si="20"/>
        <v>0</v>
      </c>
      <c r="L288" s="646">
        <f>IFERROR(IF(B288="funkcna poziadavka",VLOOKUP(G288,MODULY_CBA!$B$3:$E$23,4,0)*H288/SUMIFS($H$3:$H$199,$G$3:$G$199,G288,$B$3:$B$199,B288),),)</f>
        <v>0</v>
      </c>
      <c r="M288" s="382">
        <f>IFERROR(IF(B288="Funkcna poziadavka",VLOOKUP(G288,MODULY_CBA!$B$3:$E$23,3,0),),)</f>
        <v>0</v>
      </c>
      <c r="N288" s="382">
        <f>IFERROR(IF(B288="funkcna poziadavka",VLOOKUP(G288,MODULY_CBA!$B$3:$E$23,2,0),),)</f>
        <v>0</v>
      </c>
      <c r="O288" s="381">
        <f t="shared" si="21"/>
        <v>0</v>
      </c>
      <c r="P288" s="380">
        <f>IFERROR(O288*VLOOKUP(G288,MODULY_CBA!$B$3:$F$23,5,0),)</f>
        <v>0</v>
      </c>
      <c r="Q288" s="482" t="str">
        <f>IFERROR(VLOOKUP(G288,MODULY_CBA!$B$3:$I$23,6,0),"")</f>
        <v/>
      </c>
      <c r="R288" s="385"/>
      <c r="S288" s="385"/>
      <c r="T288" s="385"/>
      <c r="U288" s="385"/>
      <c r="V288" s="385"/>
      <c r="W288" s="385"/>
      <c r="X288" s="385"/>
      <c r="Y288" s="385"/>
      <c r="Z288" s="385"/>
      <c r="AA288" s="385"/>
      <c r="AB288" s="385"/>
      <c r="AC288" s="385"/>
      <c r="AD288" s="385"/>
      <c r="AE288" s="385"/>
      <c r="AF288" s="377"/>
    </row>
    <row r="289" spans="1:32">
      <c r="A289" s="404"/>
      <c r="B289" s="404"/>
      <c r="C289" s="535"/>
      <c r="D289" s="535"/>
      <c r="E289" s="535"/>
      <c r="F289" s="386"/>
      <c r="G289" s="386"/>
      <c r="H289" s="652"/>
      <c r="I289" s="652"/>
      <c r="J289" s="382">
        <f t="shared" si="19"/>
        <v>0</v>
      </c>
      <c r="K289" s="382">
        <f t="shared" si="20"/>
        <v>0</v>
      </c>
      <c r="L289" s="646">
        <f>IFERROR(IF(B289="funkcna poziadavka",VLOOKUP(G289,MODULY_CBA!$B$3:$E$23,4,0)*H289/SUMIFS($H$3:$H$199,$G$3:$G$199,G289,$B$3:$B$199,B289),),)</f>
        <v>0</v>
      </c>
      <c r="M289" s="382">
        <f>IFERROR(IF(B289="Funkcna poziadavka",VLOOKUP(G289,MODULY_CBA!$B$3:$E$23,3,0),),)</f>
        <v>0</v>
      </c>
      <c r="N289" s="382">
        <f>IFERROR(IF(B289="funkcna poziadavka",VLOOKUP(G289,MODULY_CBA!$B$3:$E$23,2,0),),)</f>
        <v>0</v>
      </c>
      <c r="O289" s="381">
        <f t="shared" si="21"/>
        <v>0</v>
      </c>
      <c r="P289" s="380">
        <f>IFERROR(O289*VLOOKUP(G289,MODULY_CBA!$B$3:$F$23,5,0),)</f>
        <v>0</v>
      </c>
      <c r="Q289" s="482" t="str">
        <f>IFERROR(VLOOKUP(G289,MODULY_CBA!$B$3:$I$23,6,0),"")</f>
        <v/>
      </c>
      <c r="R289" s="385"/>
      <c r="S289" s="385"/>
      <c r="T289" s="385"/>
      <c r="U289" s="385"/>
      <c r="V289" s="385"/>
      <c r="W289" s="385"/>
      <c r="X289" s="385"/>
      <c r="Y289" s="385"/>
      <c r="Z289" s="385"/>
      <c r="AA289" s="385"/>
      <c r="AB289" s="385"/>
      <c r="AC289" s="385"/>
      <c r="AD289" s="385"/>
      <c r="AE289" s="385"/>
      <c r="AF289" s="377"/>
    </row>
    <row r="290" spans="1:32">
      <c r="A290" s="404"/>
      <c r="B290" s="404"/>
      <c r="C290" s="535"/>
      <c r="D290" s="535"/>
      <c r="E290" s="535"/>
      <c r="F290" s="386"/>
      <c r="G290" s="386"/>
      <c r="H290" s="652"/>
      <c r="I290" s="652"/>
      <c r="J290" s="382">
        <f t="shared" si="19"/>
        <v>0</v>
      </c>
      <c r="K290" s="382">
        <f t="shared" si="20"/>
        <v>0</v>
      </c>
      <c r="L290" s="646">
        <f>IFERROR(IF(B290="funkcna poziadavka",VLOOKUP(G290,MODULY_CBA!$B$3:$E$23,4,0)*H290/SUMIFS($H$3:$H$199,$G$3:$G$199,G290,$B$3:$B$199,B290),),)</f>
        <v>0</v>
      </c>
      <c r="M290" s="382">
        <f>IFERROR(IF(B290="Funkcna poziadavka",VLOOKUP(G290,MODULY_CBA!$B$3:$E$23,3,0),),)</f>
        <v>0</v>
      </c>
      <c r="N290" s="382">
        <f>IFERROR(IF(B290="funkcna poziadavka",VLOOKUP(G290,MODULY_CBA!$B$3:$E$23,2,0),),)</f>
        <v>0</v>
      </c>
      <c r="O290" s="381">
        <f t="shared" si="21"/>
        <v>0</v>
      </c>
      <c r="P290" s="380">
        <f>IFERROR(O290*VLOOKUP(G290,MODULY_CBA!$B$3:$F$23,5,0),)</f>
        <v>0</v>
      </c>
      <c r="Q290" s="482" t="str">
        <f>IFERROR(VLOOKUP(G290,MODULY_CBA!$B$3:$I$23,6,0),"")</f>
        <v/>
      </c>
      <c r="R290" s="385"/>
      <c r="S290" s="385"/>
      <c r="T290" s="385"/>
      <c r="U290" s="385"/>
      <c r="V290" s="385"/>
      <c r="W290" s="385"/>
      <c r="X290" s="385"/>
      <c r="Y290" s="385"/>
      <c r="Z290" s="385"/>
      <c r="AA290" s="385"/>
      <c r="AB290" s="385"/>
      <c r="AC290" s="385"/>
      <c r="AD290" s="385"/>
      <c r="AE290" s="385"/>
      <c r="AF290" s="377"/>
    </row>
    <row r="291" spans="1:32">
      <c r="A291" s="404"/>
      <c r="B291" s="404"/>
      <c r="C291" s="535"/>
      <c r="D291" s="535"/>
      <c r="E291" s="535"/>
      <c r="F291" s="386"/>
      <c r="G291" s="386"/>
      <c r="H291" s="652"/>
      <c r="I291" s="652"/>
      <c r="J291" s="382">
        <f t="shared" si="19"/>
        <v>0</v>
      </c>
      <c r="K291" s="382">
        <f t="shared" si="20"/>
        <v>0</v>
      </c>
      <c r="L291" s="646">
        <f>IFERROR(IF(B291="funkcna poziadavka",VLOOKUP(G291,MODULY_CBA!$B$3:$E$23,4,0)*H291/SUMIFS($H$3:$H$199,$G$3:$G$199,G291,$B$3:$B$199,B291),),)</f>
        <v>0</v>
      </c>
      <c r="M291" s="382">
        <f>IFERROR(IF(B291="Funkcna poziadavka",VLOOKUP(G291,MODULY_CBA!$B$3:$E$23,3,0),),)</f>
        <v>0</v>
      </c>
      <c r="N291" s="382">
        <f>IFERROR(IF(B291="funkcna poziadavka",VLOOKUP(G291,MODULY_CBA!$B$3:$E$23,2,0),),)</f>
        <v>0</v>
      </c>
      <c r="O291" s="381">
        <f t="shared" si="21"/>
        <v>0</v>
      </c>
      <c r="P291" s="380">
        <f>IFERROR(O291*VLOOKUP(G291,MODULY_CBA!$B$3:$F$23,5,0),)</f>
        <v>0</v>
      </c>
      <c r="Q291" s="482" t="str">
        <f>IFERROR(VLOOKUP(G291,MODULY_CBA!$B$3:$I$23,6,0),"")</f>
        <v/>
      </c>
      <c r="R291" s="385"/>
      <c r="S291" s="385"/>
      <c r="T291" s="385"/>
      <c r="U291" s="385"/>
      <c r="V291" s="385"/>
      <c r="W291" s="385"/>
      <c r="X291" s="385"/>
      <c r="Y291" s="385"/>
      <c r="Z291" s="385"/>
      <c r="AA291" s="385"/>
      <c r="AB291" s="385"/>
      <c r="AC291" s="385"/>
      <c r="AD291" s="385"/>
      <c r="AE291" s="385"/>
      <c r="AF291" s="377"/>
    </row>
    <row r="292" spans="1:32">
      <c r="A292" s="404"/>
      <c r="B292" s="404"/>
      <c r="C292" s="535"/>
      <c r="D292" s="535"/>
      <c r="E292" s="535"/>
      <c r="F292" s="386"/>
      <c r="G292" s="386"/>
      <c r="H292" s="652"/>
      <c r="I292" s="652"/>
      <c r="J292" s="382">
        <f t="shared" si="19"/>
        <v>0</v>
      </c>
      <c r="K292" s="382">
        <f t="shared" si="20"/>
        <v>0</v>
      </c>
      <c r="L292" s="646">
        <f>IFERROR(IF(B292="funkcna poziadavka",VLOOKUP(G292,MODULY_CBA!$B$3:$E$23,4,0)*H292/SUMIFS($H$3:$H$199,$G$3:$G$199,G292,$B$3:$B$199,B292),),)</f>
        <v>0</v>
      </c>
      <c r="M292" s="382">
        <f>IFERROR(IF(B292="Funkcna poziadavka",VLOOKUP(G292,MODULY_CBA!$B$3:$E$23,3,0),),)</f>
        <v>0</v>
      </c>
      <c r="N292" s="382">
        <f>IFERROR(IF(B292="funkcna poziadavka",VLOOKUP(G292,MODULY_CBA!$B$3:$E$23,2,0),),)</f>
        <v>0</v>
      </c>
      <c r="O292" s="381">
        <f t="shared" si="21"/>
        <v>0</v>
      </c>
      <c r="P292" s="380">
        <f>IFERROR(O292*VLOOKUP(G292,MODULY_CBA!$B$3:$F$23,5,0),)</f>
        <v>0</v>
      </c>
      <c r="Q292" s="482" t="str">
        <f>IFERROR(VLOOKUP(G292,MODULY_CBA!$B$3:$I$23,6,0),"")</f>
        <v/>
      </c>
      <c r="R292" s="385"/>
      <c r="S292" s="385"/>
      <c r="T292" s="385"/>
      <c r="U292" s="385"/>
      <c r="V292" s="385"/>
      <c r="W292" s="385"/>
      <c r="X292" s="385"/>
      <c r="Y292" s="385"/>
      <c r="Z292" s="385"/>
      <c r="AA292" s="385"/>
      <c r="AB292" s="385"/>
      <c r="AC292" s="385"/>
      <c r="AD292" s="385"/>
      <c r="AE292" s="385"/>
      <c r="AF292" s="377"/>
    </row>
    <row r="293" spans="1:32">
      <c r="A293" s="404"/>
      <c r="B293" s="404"/>
      <c r="C293" s="535"/>
      <c r="D293" s="535"/>
      <c r="E293" s="535"/>
      <c r="F293" s="386"/>
      <c r="G293" s="386"/>
      <c r="H293" s="652"/>
      <c r="I293" s="652"/>
      <c r="J293" s="382">
        <f t="shared" si="19"/>
        <v>0</v>
      </c>
      <c r="K293" s="382">
        <f t="shared" si="20"/>
        <v>0</v>
      </c>
      <c r="L293" s="646">
        <f>IFERROR(IF(B293="funkcna poziadavka",VLOOKUP(G293,MODULY_CBA!$B$3:$E$23,4,0)*H293/SUMIFS($H$3:$H$199,$G$3:$G$199,G293,$B$3:$B$199,B293),),)</f>
        <v>0</v>
      </c>
      <c r="M293" s="382">
        <f>IFERROR(IF(B293="Funkcna poziadavka",VLOOKUP(G293,MODULY_CBA!$B$3:$E$23,3,0),),)</f>
        <v>0</v>
      </c>
      <c r="N293" s="382">
        <f>IFERROR(IF(B293="funkcna poziadavka",VLOOKUP(G293,MODULY_CBA!$B$3:$E$23,2,0),),)</f>
        <v>0</v>
      </c>
      <c r="O293" s="381">
        <f t="shared" si="21"/>
        <v>0</v>
      </c>
      <c r="P293" s="380">
        <f>IFERROR(O293*VLOOKUP(G293,MODULY_CBA!$B$3:$F$23,5,0),)</f>
        <v>0</v>
      </c>
      <c r="Q293" s="482" t="str">
        <f>IFERROR(VLOOKUP(G293,MODULY_CBA!$B$3:$I$23,6,0),"")</f>
        <v/>
      </c>
      <c r="R293" s="385"/>
      <c r="S293" s="385"/>
      <c r="T293" s="385"/>
      <c r="U293" s="385"/>
      <c r="V293" s="385"/>
      <c r="W293" s="385"/>
      <c r="X293" s="385"/>
      <c r="Y293" s="385"/>
      <c r="Z293" s="385"/>
      <c r="AA293" s="385"/>
      <c r="AB293" s="385"/>
      <c r="AC293" s="385"/>
      <c r="AD293" s="385"/>
      <c r="AE293" s="385"/>
      <c r="AF293" s="377"/>
    </row>
    <row r="294" spans="1:32">
      <c r="A294" s="404"/>
      <c r="B294" s="404"/>
      <c r="C294" s="535"/>
      <c r="D294" s="535"/>
      <c r="E294" s="535"/>
      <c r="F294" s="386"/>
      <c r="G294" s="386"/>
      <c r="H294" s="652"/>
      <c r="I294" s="652"/>
      <c r="J294" s="382">
        <f t="shared" si="19"/>
        <v>0</v>
      </c>
      <c r="K294" s="382">
        <f t="shared" si="20"/>
        <v>0</v>
      </c>
      <c r="L294" s="646">
        <f>IFERROR(IF(B294="funkcna poziadavka",VLOOKUP(G294,MODULY_CBA!$B$3:$E$23,4,0)*H294/SUMIFS($H$3:$H$199,$G$3:$G$199,G294,$B$3:$B$199,B294),),)</f>
        <v>0</v>
      </c>
      <c r="M294" s="382">
        <f>IFERROR(IF(B294="Funkcna poziadavka",VLOOKUP(G294,MODULY_CBA!$B$3:$E$23,3,0),),)</f>
        <v>0</v>
      </c>
      <c r="N294" s="382">
        <f>IFERROR(IF(B294="funkcna poziadavka",VLOOKUP(G294,MODULY_CBA!$B$3:$E$23,2,0),),)</f>
        <v>0</v>
      </c>
      <c r="O294" s="381">
        <f t="shared" si="21"/>
        <v>0</v>
      </c>
      <c r="P294" s="380">
        <f>IFERROR(O294*VLOOKUP(G294,MODULY_CBA!$B$3:$F$23,5,0),)</f>
        <v>0</v>
      </c>
      <c r="Q294" s="482" t="str">
        <f>IFERROR(VLOOKUP(G294,MODULY_CBA!$B$3:$I$23,6,0),"")</f>
        <v/>
      </c>
      <c r="R294" s="385"/>
      <c r="S294" s="385"/>
      <c r="T294" s="385"/>
      <c r="U294" s="385"/>
      <c r="V294" s="385"/>
      <c r="W294" s="385"/>
      <c r="X294" s="385"/>
      <c r="Y294" s="385"/>
      <c r="Z294" s="385"/>
      <c r="AA294" s="385"/>
      <c r="AB294" s="385"/>
      <c r="AC294" s="385"/>
      <c r="AD294" s="385"/>
      <c r="AE294" s="385"/>
      <c r="AF294" s="377"/>
    </row>
    <row r="295" spans="1:32">
      <c r="A295" s="404"/>
      <c r="B295" s="404"/>
      <c r="C295" s="535"/>
      <c r="D295" s="535"/>
      <c r="E295" s="535"/>
      <c r="F295" s="386"/>
      <c r="G295" s="386"/>
      <c r="H295" s="652"/>
      <c r="I295" s="652"/>
      <c r="J295" s="382">
        <f t="shared" si="19"/>
        <v>0</v>
      </c>
      <c r="K295" s="382">
        <f t="shared" si="20"/>
        <v>0</v>
      </c>
      <c r="L295" s="646">
        <f>IFERROR(IF(B295="funkcna poziadavka",VLOOKUP(G295,MODULY_CBA!$B$3:$E$23,4,0)*H295/SUMIFS($H$3:$H$199,$G$3:$G$199,G295,$B$3:$B$199,B295),),)</f>
        <v>0</v>
      </c>
      <c r="M295" s="382">
        <f>IFERROR(IF(B295="Funkcna poziadavka",VLOOKUP(G295,MODULY_CBA!$B$3:$E$23,3,0),),)</f>
        <v>0</v>
      </c>
      <c r="N295" s="382">
        <f>IFERROR(IF(B295="funkcna poziadavka",VLOOKUP(G295,MODULY_CBA!$B$3:$E$23,2,0),),)</f>
        <v>0</v>
      </c>
      <c r="O295" s="381">
        <f t="shared" si="21"/>
        <v>0</v>
      </c>
      <c r="P295" s="380">
        <f>IFERROR(O295*VLOOKUP(G295,MODULY_CBA!$B$3:$F$23,5,0),)</f>
        <v>0</v>
      </c>
      <c r="Q295" s="482" t="str">
        <f>IFERROR(VLOOKUP(G295,MODULY_CBA!$B$3:$I$23,6,0),"")</f>
        <v/>
      </c>
      <c r="R295" s="385"/>
      <c r="S295" s="385"/>
      <c r="T295" s="385"/>
      <c r="U295" s="385"/>
      <c r="V295" s="385"/>
      <c r="W295" s="385"/>
      <c r="X295" s="385"/>
      <c r="Y295" s="385"/>
      <c r="Z295" s="385"/>
      <c r="AA295" s="385"/>
      <c r="AB295" s="385"/>
      <c r="AC295" s="385"/>
      <c r="AD295" s="385"/>
      <c r="AE295" s="385"/>
      <c r="AF295" s="377"/>
    </row>
    <row r="296" spans="1:32">
      <c r="A296" s="404"/>
      <c r="B296" s="404"/>
      <c r="C296" s="535"/>
      <c r="D296" s="535"/>
      <c r="E296" s="535"/>
      <c r="F296" s="386"/>
      <c r="G296" s="386"/>
      <c r="H296" s="652"/>
      <c r="I296" s="652"/>
      <c r="J296" s="382">
        <f t="shared" si="19"/>
        <v>0</v>
      </c>
      <c r="K296" s="382">
        <f t="shared" si="20"/>
        <v>0</v>
      </c>
      <c r="L296" s="646">
        <f>IFERROR(IF(B296="funkcna poziadavka",VLOOKUP(G296,MODULY_CBA!$B$3:$E$23,4,0)*H296/SUMIFS($H$3:$H$199,$G$3:$G$199,G296,$B$3:$B$199,B296),),)</f>
        <v>0</v>
      </c>
      <c r="M296" s="382">
        <f>IFERROR(IF(B296="Funkcna poziadavka",VLOOKUP(G296,MODULY_CBA!$B$3:$E$23,3,0),),)</f>
        <v>0</v>
      </c>
      <c r="N296" s="382">
        <f>IFERROR(IF(B296="funkcna poziadavka",VLOOKUP(G296,MODULY_CBA!$B$3:$E$23,2,0),),)</f>
        <v>0</v>
      </c>
      <c r="O296" s="381">
        <f t="shared" si="21"/>
        <v>0</v>
      </c>
      <c r="P296" s="380">
        <f>IFERROR(O296*VLOOKUP(G296,MODULY_CBA!$B$3:$F$23,5,0),)</f>
        <v>0</v>
      </c>
      <c r="Q296" s="482" t="str">
        <f>IFERROR(VLOOKUP(G296,MODULY_CBA!$B$3:$I$23,6,0),"")</f>
        <v/>
      </c>
      <c r="R296" s="385"/>
      <c r="S296" s="385"/>
      <c r="T296" s="385"/>
      <c r="U296" s="385"/>
      <c r="V296" s="385"/>
      <c r="W296" s="385"/>
      <c r="X296" s="385"/>
      <c r="Y296" s="385"/>
      <c r="Z296" s="385"/>
      <c r="AA296" s="385"/>
      <c r="AB296" s="385"/>
      <c r="AC296" s="385"/>
      <c r="AD296" s="385"/>
      <c r="AE296" s="385"/>
      <c r="AF296" s="377"/>
    </row>
    <row r="297" spans="1:32">
      <c r="A297" s="404"/>
      <c r="B297" s="404"/>
      <c r="C297" s="535"/>
      <c r="D297" s="535"/>
      <c r="E297" s="535"/>
      <c r="F297" s="386"/>
      <c r="G297" s="386"/>
      <c r="H297" s="652"/>
      <c r="I297" s="652"/>
      <c r="J297" s="382">
        <f t="shared" si="19"/>
        <v>0</v>
      </c>
      <c r="K297" s="382">
        <f t="shared" si="20"/>
        <v>0</v>
      </c>
      <c r="L297" s="646">
        <f>IFERROR(IF(B297="funkcna poziadavka",VLOOKUP(G297,MODULY_CBA!$B$3:$E$23,4,0)*H297/SUMIFS($H$3:$H$199,$G$3:$G$199,G297,$B$3:$B$199,B297),),)</f>
        <v>0</v>
      </c>
      <c r="M297" s="382">
        <f>IFERROR(IF(B297="Funkcna poziadavka",VLOOKUP(G297,MODULY_CBA!$B$3:$E$23,3,0),),)</f>
        <v>0</v>
      </c>
      <c r="N297" s="382">
        <f>IFERROR(IF(B297="funkcna poziadavka",VLOOKUP(G297,MODULY_CBA!$B$3:$E$23,2,0),),)</f>
        <v>0</v>
      </c>
      <c r="O297" s="381">
        <f t="shared" si="21"/>
        <v>0</v>
      </c>
      <c r="P297" s="380">
        <f>IFERROR(O297*VLOOKUP(G297,MODULY_CBA!$B$3:$F$23,5,0),)</f>
        <v>0</v>
      </c>
      <c r="Q297" s="482" t="str">
        <f>IFERROR(VLOOKUP(G297,MODULY_CBA!$B$3:$I$23,6,0),"")</f>
        <v/>
      </c>
      <c r="R297" s="385"/>
      <c r="S297" s="385"/>
      <c r="T297" s="385"/>
      <c r="U297" s="385"/>
      <c r="V297" s="385"/>
      <c r="W297" s="385"/>
      <c r="X297" s="385"/>
      <c r="Y297" s="385"/>
      <c r="Z297" s="385"/>
      <c r="AA297" s="385"/>
      <c r="AB297" s="385"/>
      <c r="AC297" s="385"/>
      <c r="AD297" s="385"/>
      <c r="AE297" s="385"/>
      <c r="AF297" s="377"/>
    </row>
    <row r="298" spans="1:32">
      <c r="A298" s="404"/>
      <c r="B298" s="404"/>
      <c r="C298" s="535"/>
      <c r="D298" s="535"/>
      <c r="E298" s="535"/>
      <c r="F298" s="386"/>
      <c r="G298" s="386"/>
      <c r="H298" s="652"/>
      <c r="I298" s="652"/>
      <c r="J298" s="382">
        <f t="shared" ref="J298:J300" si="22">IF(ISNUMBER(H298),H298,)</f>
        <v>0</v>
      </c>
      <c r="K298" s="382">
        <f t="shared" ref="K298:K300" si="23">H298*I298</f>
        <v>0</v>
      </c>
      <c r="L298" s="646">
        <f>IFERROR(IF(B298="funkcna poziadavka",VLOOKUP(G298,MODULY_CBA!$B$3:$E$23,4,0)*H298/SUMIFS($H$3:$H$199,$G$3:$G$199,G298,$B$3:$B$199,B298),),)</f>
        <v>0</v>
      </c>
      <c r="M298" s="382">
        <f>IFERROR(IF(B298="Funkcna poziadavka",VLOOKUP(G298,MODULY_CBA!$B$3:$E$23,3,0),),)</f>
        <v>0</v>
      </c>
      <c r="N298" s="382">
        <f>IFERROR(IF(B298="funkcna poziadavka",VLOOKUP(G298,MODULY_CBA!$B$3:$E$23,2,0),),)</f>
        <v>0</v>
      </c>
      <c r="O298" s="381">
        <f t="shared" ref="O298:O300" si="24">(K298+L298)*M298*N298</f>
        <v>0</v>
      </c>
      <c r="P298" s="380">
        <f>IFERROR(O298*VLOOKUP(G298,MODULY_CBA!$B$3:$F$23,5,0),)</f>
        <v>0</v>
      </c>
      <c r="Q298" s="482" t="str">
        <f>IFERROR(VLOOKUP(G298,MODULY_CBA!$B$3:$I$23,6,0),"")</f>
        <v/>
      </c>
      <c r="R298" s="385"/>
      <c r="S298" s="385"/>
      <c r="T298" s="385"/>
      <c r="U298" s="385"/>
      <c r="V298" s="385"/>
      <c r="W298" s="385"/>
      <c r="X298" s="385"/>
      <c r="Y298" s="385"/>
      <c r="Z298" s="385"/>
      <c r="AA298" s="385"/>
      <c r="AB298" s="385"/>
      <c r="AC298" s="385"/>
      <c r="AD298" s="385"/>
      <c r="AE298" s="385"/>
      <c r="AF298" s="377"/>
    </row>
    <row r="299" spans="1:32">
      <c r="A299" s="404"/>
      <c r="B299" s="404"/>
      <c r="C299" s="535"/>
      <c r="D299" s="535"/>
      <c r="E299" s="535"/>
      <c r="F299" s="386"/>
      <c r="G299" s="386"/>
      <c r="H299" s="652"/>
      <c r="I299" s="652"/>
      <c r="J299" s="382">
        <f t="shared" si="22"/>
        <v>0</v>
      </c>
      <c r="K299" s="382">
        <f t="shared" si="23"/>
        <v>0</v>
      </c>
      <c r="L299" s="646">
        <f>IFERROR(IF(B299="funkcna poziadavka",VLOOKUP(G299,MODULY_CBA!$B$3:$E$23,4,0)*H299/SUMIFS($H$3:$H$199,$G$3:$G$199,G299,$B$3:$B$199,B299),),)</f>
        <v>0</v>
      </c>
      <c r="M299" s="382">
        <f>IFERROR(IF(B299="Funkcna poziadavka",VLOOKUP(G299,MODULY_CBA!$B$3:$E$23,3,0),),)</f>
        <v>0</v>
      </c>
      <c r="N299" s="382">
        <f>IFERROR(IF(B299="funkcna poziadavka",VLOOKUP(G299,MODULY_CBA!$B$3:$E$23,2,0),),)</f>
        <v>0</v>
      </c>
      <c r="O299" s="381">
        <f t="shared" si="24"/>
        <v>0</v>
      </c>
      <c r="P299" s="380">
        <f>IFERROR(O299*VLOOKUP(G299,MODULY_CBA!$B$3:$F$23,5,0),)</f>
        <v>0</v>
      </c>
      <c r="Q299" s="482" t="str">
        <f>IFERROR(VLOOKUP(G299,MODULY_CBA!$B$3:$I$23,6,0),"")</f>
        <v/>
      </c>
      <c r="R299" s="385"/>
      <c r="S299" s="385"/>
      <c r="T299" s="385"/>
      <c r="U299" s="385"/>
      <c r="V299" s="385"/>
      <c r="W299" s="385"/>
      <c r="X299" s="385"/>
      <c r="Y299" s="385"/>
      <c r="Z299" s="385"/>
      <c r="AA299" s="385"/>
      <c r="AB299" s="385"/>
      <c r="AC299" s="385"/>
      <c r="AD299" s="385"/>
      <c r="AE299" s="385"/>
      <c r="AF299" s="377"/>
    </row>
    <row r="300" spans="1:32">
      <c r="A300" s="404"/>
      <c r="B300" s="404" t="s">
        <v>747</v>
      </c>
      <c r="C300" s="535" t="s">
        <v>754</v>
      </c>
      <c r="D300" s="535" t="s">
        <v>755</v>
      </c>
      <c r="E300" s="535" t="s">
        <v>1</v>
      </c>
      <c r="F300" s="386" t="s">
        <v>756</v>
      </c>
      <c r="G300" s="386" t="s">
        <v>746</v>
      </c>
      <c r="H300" s="652">
        <v>5</v>
      </c>
      <c r="I300" s="652">
        <v>15</v>
      </c>
      <c r="J300" s="382">
        <f t="shared" si="22"/>
        <v>5</v>
      </c>
      <c r="K300" s="382">
        <f t="shared" si="23"/>
        <v>75</v>
      </c>
      <c r="L300" s="646">
        <f>IFERROR(IF(B300="funkcna poziadavka",VLOOKUP(G300,MODULY_CBA!$B$3:$E$23,4,0)*H300/SUMIFS($H$3:$H$199,$G$3:$G$199,G300,$B$3:$B$199,B300),),)</f>
        <v>0</v>
      </c>
      <c r="M300" s="382">
        <f>IFERROR(IF(B300="Funkcna poziadavka",VLOOKUP(G300,MODULY_CBA!$B$3:$E$23,3,0),),)</f>
        <v>0</v>
      </c>
      <c r="N300" s="382">
        <f>IFERROR(IF(B300="funkcna poziadavka",VLOOKUP(G300,MODULY_CBA!$B$3:$E$23,2,0),),)</f>
        <v>0</v>
      </c>
      <c r="O300" s="381">
        <f t="shared" si="24"/>
        <v>0</v>
      </c>
      <c r="P300" s="380">
        <f>IFERROR(O300*VLOOKUP(G300,MODULY_CBA!$B$3:$F$23,5,0),)</f>
        <v>0</v>
      </c>
      <c r="Q300" s="482" t="str">
        <f>IFERROR(VLOOKUP(G300,MODULY_CBA!$B$3:$I$23,6,0),"")</f>
        <v/>
      </c>
      <c r="R300" s="385"/>
      <c r="S300" s="385"/>
      <c r="T300" s="385"/>
      <c r="U300" s="385"/>
      <c r="V300" s="385"/>
      <c r="W300" s="385"/>
      <c r="X300" s="385"/>
      <c r="Y300" s="385"/>
      <c r="Z300" s="385"/>
      <c r="AA300" s="385"/>
      <c r="AB300" s="385"/>
      <c r="AC300" s="385"/>
      <c r="AD300" s="385"/>
      <c r="AE300" s="385"/>
      <c r="AF300" s="377"/>
    </row>
  </sheetData>
  <autoFilter ref="A2:AE300" xr:uid="{00000000-0009-0000-0000-00000B000000}"/>
  <mergeCells count="4">
    <mergeCell ref="T1:V1"/>
    <mergeCell ref="W1:AC1"/>
    <mergeCell ref="AD1:AE1"/>
    <mergeCell ref="A1:S1"/>
  </mergeCells>
  <phoneticPr fontId="58" type="noConversion"/>
  <conditionalFormatting sqref="H3:I300">
    <cfRule type="expression" dxfId="19" priority="1">
      <formula>$B3="Funkcna poziadavka"</formula>
    </cfRule>
  </conditionalFormatting>
  <conditionalFormatting sqref="J3:P300">
    <cfRule type="expression" dxfId="18" priority="2">
      <formula>$B3="funkcna poziadavka"</formula>
    </cfRule>
  </conditionalFormatting>
  <dataValidations count="3">
    <dataValidation type="list" allowBlank="1" showInputMessage="1" showErrorMessage="1" sqref="I3:I300" xr:uid="{00000000-0002-0000-0B00-000000000000}">
      <formula1>"5,10,15"</formula1>
    </dataValidation>
    <dataValidation type="list" allowBlank="1" showInputMessage="1" showErrorMessage="1" sqref="G3:G1048576" xr:uid="{00000000-0002-0000-0B00-000001000000}">
      <formula1>Moduly_2</formula1>
    </dataValidation>
    <dataValidation type="list" allowBlank="1" showInputMessage="1" showErrorMessage="1" sqref="B3:B300" xr:uid="{00000000-0002-0000-0B00-000002000000}">
      <formula1>"Funkcna poziadavka, Ne-Funkcna poziadavka, Technicka poziadavka"</formula1>
    </dataValidation>
  </dataValidations>
  <pageMargins left="0.7" right="0.7" top="0.75" bottom="0.75" header="0.3" footer="0.3"/>
  <pageSetup paperSize="9" orientation="portrait" horizontalDpi="4294967293" verticalDpi="1200"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árok27">
    <tabColor rgb="FFFFC000"/>
  </sheetPr>
  <dimension ref="A1:G17"/>
  <sheetViews>
    <sheetView workbookViewId="0">
      <pane xSplit="2" ySplit="4" topLeftCell="D5" activePane="bottomRight" state="frozen"/>
      <selection pane="topRight" activeCell="C1" sqref="C1"/>
      <selection pane="bottomLeft" activeCell="A5" sqref="A5"/>
      <selection pane="bottomRight" activeCell="L7" sqref="L7"/>
    </sheetView>
  </sheetViews>
  <sheetFormatPr defaultColWidth="8.7109375" defaultRowHeight="12.75"/>
  <cols>
    <col min="1" max="1" width="40" style="410" customWidth="1"/>
    <col min="2" max="2" width="11.140625" style="410" customWidth="1"/>
    <col min="3" max="3" width="11.140625" style="410" hidden="1" customWidth="1"/>
    <col min="4" max="4" width="55.42578125" style="410" customWidth="1"/>
    <col min="5" max="7" width="10.7109375" style="410" customWidth="1"/>
    <col min="8" max="16384" width="8.7109375" style="410"/>
  </cols>
  <sheetData>
    <row r="1" spans="1:7" ht="13.5" thickBot="1">
      <c r="A1" s="611" t="s">
        <v>354</v>
      </c>
      <c r="B1" s="610">
        <f>SUM(G5:G17)</f>
        <v>0</v>
      </c>
      <c r="C1" s="610"/>
    </row>
    <row r="2" spans="1:7" ht="13.5" thickBot="1">
      <c r="A2" s="611" t="s">
        <v>325</v>
      </c>
      <c r="B2" s="614">
        <f>0.6 + (0.01*B1)</f>
        <v>0.6</v>
      </c>
      <c r="C2" s="615"/>
    </row>
    <row r="4" spans="1:7" s="623" customFormat="1">
      <c r="A4" s="619" t="s">
        <v>40</v>
      </c>
      <c r="B4" s="620" t="s">
        <v>454</v>
      </c>
      <c r="C4" s="619" t="s">
        <v>555</v>
      </c>
      <c r="D4" s="619" t="s">
        <v>669</v>
      </c>
      <c r="E4" s="621" t="s">
        <v>453</v>
      </c>
      <c r="F4" s="622" t="s">
        <v>2</v>
      </c>
      <c r="G4" s="622" t="s">
        <v>552</v>
      </c>
    </row>
    <row r="5" spans="1:7" ht="36" customHeight="1">
      <c r="A5" s="606" t="s">
        <v>353</v>
      </c>
      <c r="B5" s="605" t="s">
        <v>367</v>
      </c>
      <c r="C5" s="605">
        <v>1</v>
      </c>
      <c r="D5" s="617" t="str">
        <f>HLOOKUP(F5,Parametre_ECF_TCF!$B$1:$G$14,TCF_v02!C5+1,0)</f>
        <v>Aplikácia ignoruje akýkoľvek aspekt súvisiaci s distribuovaným spracovaním.</v>
      </c>
      <c r="E5" s="607">
        <v>1</v>
      </c>
      <c r="F5" s="608">
        <v>0</v>
      </c>
      <c r="G5" s="609">
        <f>E5*F5</f>
        <v>0</v>
      </c>
    </row>
    <row r="6" spans="1:7">
      <c r="A6" s="606" t="s">
        <v>352</v>
      </c>
      <c r="B6" s="605" t="s">
        <v>366</v>
      </c>
      <c r="C6" s="605">
        <v>2</v>
      </c>
      <c r="D6" s="617" t="str">
        <f>HLOOKUP(F6,Parametre_ECF_TCF!$B$1:$G$14,TCF_v02!C6+1,0)</f>
        <v>Klient nezadefinoval žiadne špeciálne požiadavky na výkon.</v>
      </c>
      <c r="E6" s="607">
        <v>1</v>
      </c>
      <c r="F6" s="608">
        <v>0</v>
      </c>
      <c r="G6" s="609">
        <f t="shared" ref="G6:G17" si="0">E6*F6</f>
        <v>0</v>
      </c>
    </row>
    <row r="7" spans="1:7" ht="25.5">
      <c r="A7" s="606" t="s">
        <v>351</v>
      </c>
      <c r="B7" s="605" t="s">
        <v>365</v>
      </c>
      <c r="C7" s="605">
        <v>3</v>
      </c>
      <c r="D7" s="617" t="str">
        <f>HLOOKUP(F7,Parametre_ECF_TCF!$B$1:$G$14,TCF_v02!C7+1,0)</f>
        <v>Aplikácia nepotrebuje žiadnu špeciálne požiadavky na efektivitu koncového užívateľa.</v>
      </c>
      <c r="E7" s="607">
        <v>1</v>
      </c>
      <c r="F7" s="608">
        <v>0</v>
      </c>
      <c r="G7" s="609">
        <f t="shared" si="0"/>
        <v>0</v>
      </c>
    </row>
    <row r="8" spans="1:7">
      <c r="A8" s="606" t="s">
        <v>350</v>
      </c>
      <c r="B8" s="605" t="s">
        <v>364</v>
      </c>
      <c r="C8" s="605">
        <v>4</v>
      </c>
      <c r="D8" s="617" t="str">
        <f>HLOOKUP(F8,Parametre_ECF_TCF!$B$1:$G$14,TCF_v02!C8+1,0)</f>
        <v>Nie sú potrebné žiadne špeciálne požiadavky</v>
      </c>
      <c r="E8" s="607">
        <v>1</v>
      </c>
      <c r="F8" s="608">
        <v>0</v>
      </c>
      <c r="G8" s="609">
        <f t="shared" si="0"/>
        <v>0</v>
      </c>
    </row>
    <row r="9" spans="1:7">
      <c r="A9" s="606" t="s">
        <v>349</v>
      </c>
      <c r="B9" s="605" t="s">
        <v>363</v>
      </c>
      <c r="C9" s="605">
        <v>5</v>
      </c>
      <c r="D9" s="617" t="str">
        <f>HLOOKUP(F9,Parametre_ECF_TCF!$B$1:$G$14,TCF_v02!C9+1,0)</f>
        <v>Neexistujú obavy z výroby opakovane použiteľného kódu.</v>
      </c>
      <c r="E9" s="607">
        <v>1</v>
      </c>
      <c r="F9" s="608">
        <v>0</v>
      </c>
      <c r="G9" s="609">
        <f t="shared" si="0"/>
        <v>0</v>
      </c>
    </row>
    <row r="10" spans="1:7" ht="25.5">
      <c r="A10" s="606" t="s">
        <v>348</v>
      </c>
      <c r="B10" s="605" t="s">
        <v>362</v>
      </c>
      <c r="C10" s="605">
        <v>6</v>
      </c>
      <c r="D10" s="617" t="str">
        <f>HLOOKUP(F10,Parametre_ECF_TCF!$B$1:$G$14,TCF_v02!C10+1,0)</f>
        <v>Klient nezadal nijaké zvláštne ohľady a na inštaláciu nie je potrebné žiadne špeciálne nastavenie.</v>
      </c>
      <c r="E10" s="607">
        <v>0.5</v>
      </c>
      <c r="F10" s="608">
        <v>0</v>
      </c>
      <c r="G10" s="609">
        <f t="shared" si="0"/>
        <v>0</v>
      </c>
    </row>
    <row r="11" spans="1:7" ht="25.5">
      <c r="A11" s="606" t="s">
        <v>347</v>
      </c>
      <c r="B11" s="605" t="s">
        <v>361</v>
      </c>
      <c r="C11" s="605">
        <v>7</v>
      </c>
      <c r="D11" s="617" t="str">
        <f>HLOOKUP(F11,Parametre_ECF_TCF!$B$1:$G$14,TCF_v02!C11+1,0)</f>
        <v>Užívateľ neurčil okrem bežného zálohovania žiadne špeciálne požiadavky na fungovanie systému</v>
      </c>
      <c r="E11" s="607">
        <v>0.5</v>
      </c>
      <c r="F11" s="608">
        <v>0</v>
      </c>
      <c r="G11" s="609">
        <f t="shared" si="0"/>
        <v>0</v>
      </c>
    </row>
    <row r="12" spans="1:7" ht="25.5">
      <c r="A12" s="606" t="s">
        <v>346</v>
      </c>
      <c r="B12" s="605" t="s">
        <v>360</v>
      </c>
      <c r="C12" s="605">
        <v>8</v>
      </c>
      <c r="D12" s="617" t="str">
        <f>HLOOKUP(F12,Parametre_ECF_TCF!$B$1:$G$14,TCF_v02!C12+1,0)</f>
        <v>Neexistuje žiadna požiadavka používateľa, aby sa zvážila potreba inštalácie aplikácie na viac ako jednu platformu</v>
      </c>
      <c r="E12" s="607">
        <v>2</v>
      </c>
      <c r="F12" s="608">
        <v>0</v>
      </c>
      <c r="G12" s="609">
        <f t="shared" si="0"/>
        <v>0</v>
      </c>
    </row>
    <row r="13" spans="1:7">
      <c r="A13" s="606" t="s">
        <v>345</v>
      </c>
      <c r="B13" s="605" t="s">
        <v>359</v>
      </c>
      <c r="C13" s="605">
        <v>9</v>
      </c>
      <c r="D13" s="617" t="str">
        <f>HLOOKUP(F13,Parametre_ECF_TCF!$B$1:$G$14,TCF_v02!C13+1,0)</f>
        <v>Nie sú potrebné žiadne špeciálne požiadavky</v>
      </c>
      <c r="E13" s="607">
        <v>1</v>
      </c>
      <c r="F13" s="608">
        <v>0</v>
      </c>
      <c r="G13" s="609">
        <f t="shared" si="0"/>
        <v>0</v>
      </c>
    </row>
    <row r="14" spans="1:7">
      <c r="A14" s="606" t="s">
        <v>344</v>
      </c>
      <c r="B14" s="605" t="s">
        <v>358</v>
      </c>
      <c r="C14" s="605">
        <v>10</v>
      </c>
      <c r="D14" s="617" t="str">
        <f>HLOOKUP(F14,Parametre_ECF_TCF!$B$1:$G$14,TCF_v02!C14+1,0)</f>
        <v>Neočakáva sa žiadny súbežný prístup k údajom</v>
      </c>
      <c r="E14" s="607">
        <v>1</v>
      </c>
      <c r="F14" s="608">
        <v>0</v>
      </c>
      <c r="G14" s="609">
        <f t="shared" si="0"/>
        <v>0</v>
      </c>
    </row>
    <row r="15" spans="1:7">
      <c r="A15" s="606" t="s">
        <v>343</v>
      </c>
      <c r="B15" s="605" t="s">
        <v>357</v>
      </c>
      <c r="C15" s="605">
        <v>11</v>
      </c>
      <c r="D15" s="617" t="str">
        <f>HLOOKUP(F15,Parametre_ECF_TCF!$B$1:$G$14,TCF_v02!C15+1,0)</f>
        <v>Neexistujú žiadne špeciálne požiadavky týkajúce sa bezpečnosti.</v>
      </c>
      <c r="E15" s="607">
        <v>1</v>
      </c>
      <c r="F15" s="608">
        <v>0</v>
      </c>
      <c r="G15" s="609">
        <f t="shared" si="0"/>
        <v>0</v>
      </c>
    </row>
    <row r="16" spans="1:7" ht="36" customHeight="1">
      <c r="A16" s="606" t="s">
        <v>342</v>
      </c>
      <c r="B16" s="605" t="s">
        <v>356</v>
      </c>
      <c r="C16" s="605">
        <v>12</v>
      </c>
      <c r="D16" s="617" t="str">
        <f>HLOOKUP(F16,Parametre_ECF_TCF!$B$1:$G$14,TCF_v02!C16+1,0)</f>
        <v>Na vývoj aplikácie sa vo veľkej miere použije vysoko spoľahlivý už existujúci kód.</v>
      </c>
      <c r="E16" s="607">
        <v>1</v>
      </c>
      <c r="F16" s="608">
        <v>0</v>
      </c>
      <c r="G16" s="609">
        <f t="shared" si="0"/>
        <v>0</v>
      </c>
    </row>
    <row r="17" spans="1:7" ht="40.15" customHeight="1">
      <c r="A17" s="606" t="s">
        <v>341</v>
      </c>
      <c r="B17" s="605" t="s">
        <v>355</v>
      </c>
      <c r="C17" s="605">
        <v>13</v>
      </c>
      <c r="D17" s="617" t="str">
        <f>HLOOKUP(F17,Parametre_ECF_TCF!$B$1:$G$14,TCF_v02!C17+1,0)</f>
        <v>Neexistujú žiadne špecifické požiadavky na školenie používateľov.</v>
      </c>
      <c r="E17" s="607">
        <v>1</v>
      </c>
      <c r="F17" s="608">
        <v>0</v>
      </c>
      <c r="G17" s="609">
        <f t="shared" si="0"/>
        <v>0</v>
      </c>
    </row>
  </sheetData>
  <conditionalFormatting sqref="F5:G17">
    <cfRule type="expression" dxfId="17" priority="1">
      <formula>#REF!="NIE"</formula>
    </cfRule>
    <cfRule type="expression" dxfId="16" priority="2">
      <formula>#REF!="ANO"</formula>
    </cfRule>
  </conditionalFormatting>
  <dataValidations count="1">
    <dataValidation type="list" allowBlank="1" showInputMessage="1" showErrorMessage="1" sqref="F5:F17" xr:uid="{00000000-0002-0000-0C00-000000000000}">
      <formula1>"0,1,2,3,4,5"</formula1>
    </dataValidation>
  </dataValidations>
  <pageMargins left="0.7" right="0.7" top="0.75" bottom="0.75" header="0.3" footer="0.3"/>
  <pageSetup paperSize="9" orientation="portrait" horizontalDpi="4294967293"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árok28">
    <tabColor rgb="FFFFC000"/>
  </sheetPr>
  <dimension ref="A1:G12"/>
  <sheetViews>
    <sheetView workbookViewId="0">
      <pane ySplit="4" topLeftCell="A5" activePane="bottomLeft" state="frozen"/>
      <selection pane="bottomLeft" activeCell="J8" sqref="J8"/>
    </sheetView>
  </sheetViews>
  <sheetFormatPr defaultColWidth="8.7109375" defaultRowHeight="12.75"/>
  <cols>
    <col min="1" max="1" width="40" style="410" customWidth="1"/>
    <col min="2" max="2" width="11.140625" style="410" customWidth="1"/>
    <col min="3" max="3" width="10.7109375" style="410" hidden="1" customWidth="1"/>
    <col min="4" max="4" width="55.7109375" style="410" customWidth="1"/>
    <col min="5" max="7" width="10.7109375" style="410" customWidth="1"/>
    <col min="8" max="16384" width="8.7109375" style="410"/>
  </cols>
  <sheetData>
    <row r="1" spans="1:7" ht="13.5" thickBot="1">
      <c r="A1" s="611" t="s">
        <v>354</v>
      </c>
      <c r="B1" s="610">
        <f>SUM(G5:G12)</f>
        <v>0</v>
      </c>
      <c r="C1" s="610"/>
    </row>
    <row r="2" spans="1:7" ht="13.5" thickBot="1">
      <c r="A2" s="611" t="s">
        <v>325</v>
      </c>
      <c r="B2" s="614">
        <f>1.4 + (-0.03*B1)</f>
        <v>1.4</v>
      </c>
      <c r="C2" s="615"/>
    </row>
    <row r="4" spans="1:7" s="623" customFormat="1">
      <c r="A4" s="619" t="s">
        <v>40</v>
      </c>
      <c r="B4" s="620" t="s">
        <v>454</v>
      </c>
      <c r="C4" s="619" t="s">
        <v>555</v>
      </c>
      <c r="D4" s="619" t="s">
        <v>669</v>
      </c>
      <c r="E4" s="621" t="s">
        <v>453</v>
      </c>
      <c r="F4" s="622" t="s">
        <v>2</v>
      </c>
      <c r="G4" s="622" t="s">
        <v>552</v>
      </c>
    </row>
    <row r="5" spans="1:7" ht="45.4" customHeight="1">
      <c r="A5" s="613" t="s">
        <v>456</v>
      </c>
      <c r="B5" s="612" t="s">
        <v>507</v>
      </c>
      <c r="C5" s="612">
        <v>1</v>
      </c>
      <c r="D5" s="617" t="str">
        <f>HLOOKUP(F5,Parametre_ECF_TCF!$B$1:$G$50,ECF_v02!C5+14,0)</f>
        <v>Tím nemá skúsenosti s vývojovým procesom alebo nepoužíva žiadny proces.</v>
      </c>
      <c r="E5" s="607">
        <v>1.5</v>
      </c>
      <c r="F5" s="608">
        <v>0</v>
      </c>
      <c r="G5" s="609">
        <f>E5*F5</f>
        <v>0</v>
      </c>
    </row>
    <row r="6" spans="1:7" ht="45.4" customHeight="1">
      <c r="A6" s="613" t="s">
        <v>374</v>
      </c>
      <c r="B6" s="605" t="s">
        <v>508</v>
      </c>
      <c r="C6" s="605">
        <v>2</v>
      </c>
      <c r="D6" s="617" t="str">
        <f>HLOOKUP(F6,Parametre_ECF_TCF!$B$1:$G$50,ECF_v02!C6+14,0)</f>
        <v>Žiadny člen tímu nemá skúsenosti s projektmi v rovnakej oblasti.</v>
      </c>
      <c r="E6" s="607">
        <v>0.5</v>
      </c>
      <c r="F6" s="608">
        <v>0</v>
      </c>
      <c r="G6" s="609">
        <f t="shared" ref="G6:G12" si="0">E6*F6</f>
        <v>0</v>
      </c>
    </row>
    <row r="7" spans="1:7" ht="45.4" customHeight="1">
      <c r="A7" s="613" t="s">
        <v>373</v>
      </c>
      <c r="B7" s="605" t="s">
        <v>509</v>
      </c>
      <c r="C7" s="605">
        <v>3</v>
      </c>
      <c r="D7" s="617" t="str">
        <f>HLOOKUP(F7,Parametre_ECF_TCF!$B$1:$G$50,ECF_v02!C7+14,0)</f>
        <v>Tím nemá skúsenosti s objektovo orientovanými technikami.</v>
      </c>
      <c r="E7" s="607">
        <v>1</v>
      </c>
      <c r="F7" s="608">
        <v>0</v>
      </c>
      <c r="G7" s="609">
        <f t="shared" si="0"/>
        <v>0</v>
      </c>
    </row>
    <row r="8" spans="1:7" ht="45.4" customHeight="1">
      <c r="A8" s="613" t="s">
        <v>372</v>
      </c>
      <c r="B8" s="605" t="s">
        <v>510</v>
      </c>
      <c r="C8" s="605">
        <v>4</v>
      </c>
      <c r="D8" s="617" t="str">
        <f>HLOOKUP(F8,Parametre_ECF_TCF!$B$1:$G$50,ECF_v02!C8+14,0)</f>
        <v>Vedúci analytik nemá skúsenosti.</v>
      </c>
      <c r="E8" s="607">
        <v>0.5</v>
      </c>
      <c r="F8" s="608">
        <v>0</v>
      </c>
      <c r="G8" s="609">
        <f t="shared" si="0"/>
        <v>0</v>
      </c>
    </row>
    <row r="9" spans="1:7" ht="45.4" customHeight="1">
      <c r="A9" s="613" t="s">
        <v>371</v>
      </c>
      <c r="B9" s="605" t="s">
        <v>511</v>
      </c>
      <c r="C9" s="605">
        <v>5</v>
      </c>
      <c r="D9" s="617" t="str">
        <f>HLOOKUP(F9,Parametre_ECF_TCF!$B$1:$G$50,ECF_v02!C9+14,0)</f>
        <v>Tím nemá vôbec žiadnu motiváciu. Bez neustáleho dohľadu sa tím stáva neproduktívnym. Tím robí iba to, na čo sa prísne žiada.</v>
      </c>
      <c r="E9" s="607">
        <v>1</v>
      </c>
      <c r="F9" s="608">
        <v>0</v>
      </c>
      <c r="G9" s="609">
        <f t="shared" si="0"/>
        <v>0</v>
      </c>
    </row>
    <row r="10" spans="1:7" ht="45.4" customHeight="1">
      <c r="A10" s="613" t="s">
        <v>370</v>
      </c>
      <c r="B10" s="605" t="s">
        <v>512</v>
      </c>
      <c r="C10" s="605">
        <v>6</v>
      </c>
      <c r="D10" s="617" t="str">
        <f>HLOOKUP(F10,Parametre_ECF_TCF!$B$1:$G$50,ECF_v02!C10+14,0)</f>
        <v>Neexistujú historické údaje o stabilite požiadaviek alebo v minulosti zlá analýza spôsobila veľké zmeny v požiadavkách po začiatku projektu</v>
      </c>
      <c r="E10" s="607">
        <v>2</v>
      </c>
      <c r="F10" s="608">
        <v>0</v>
      </c>
      <c r="G10" s="609">
        <f t="shared" si="0"/>
        <v>0</v>
      </c>
    </row>
    <row r="11" spans="1:7" ht="45.4" customHeight="1">
      <c r="A11" s="613" t="s">
        <v>369</v>
      </c>
      <c r="B11" s="605" t="s">
        <v>513</v>
      </c>
      <c r="C11" s="605">
        <v>7</v>
      </c>
      <c r="D11" s="617" t="str">
        <f>HLOOKUP(F11,Parametre_ECF_TCF!$B$1:$G$50,ECF_v02!C11+14,0)</f>
        <v>Žiadny člen tímu nie je na čiastočný úväzok na projekte.</v>
      </c>
      <c r="E11" s="607">
        <v>-1</v>
      </c>
      <c r="F11" s="608">
        <v>0</v>
      </c>
      <c r="G11" s="609">
        <f t="shared" si="0"/>
        <v>0</v>
      </c>
    </row>
    <row r="12" spans="1:7" ht="45.4" customHeight="1">
      <c r="A12" s="613" t="s">
        <v>368</v>
      </c>
      <c r="B12" s="605" t="s">
        <v>514</v>
      </c>
      <c r="C12" s="616">
        <v>8</v>
      </c>
      <c r="D12" s="617" t="str">
        <f>HLOOKUP(F12,Parametre_ECF_TCF!$B$1:$G$50,ECF_v02!C12+14,0)</f>
        <v>Všetci členovia tímu sú veľmi skúsení programátori.</v>
      </c>
      <c r="E12" s="607">
        <v>-1</v>
      </c>
      <c r="F12" s="608">
        <v>0</v>
      </c>
      <c r="G12" s="609">
        <f t="shared" si="0"/>
        <v>0</v>
      </c>
    </row>
  </sheetData>
  <phoneticPr fontId="58" type="noConversion"/>
  <conditionalFormatting sqref="F5:G12">
    <cfRule type="expression" dxfId="15" priority="1">
      <formula>#REF!="NIE"</formula>
    </cfRule>
    <cfRule type="expression" dxfId="14" priority="2">
      <formula>#REF!="ANO"</formula>
    </cfRule>
  </conditionalFormatting>
  <dataValidations count="1">
    <dataValidation type="list" allowBlank="1" showInputMessage="1" showErrorMessage="1" sqref="F5:F12" xr:uid="{00000000-0002-0000-0D00-000000000000}">
      <formula1>"0,1,2,3,4,5"</formula1>
    </dataValidation>
  </dataValidations>
  <pageMargins left="0.7" right="0.7" top="0.75" bottom="0.75" header="0.3" footer="0.3"/>
  <pageSetup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árok29">
    <tabColor rgb="FFFFC000"/>
  </sheetPr>
  <dimension ref="A1:Q26"/>
  <sheetViews>
    <sheetView workbookViewId="0">
      <pane xSplit="2" ySplit="5" topLeftCell="C6" activePane="bottomRight" state="frozen"/>
      <selection activeCell="I3" sqref="I3"/>
      <selection pane="topRight" activeCell="I3" sqref="I3"/>
      <selection pane="bottomLeft" activeCell="I3" sqref="I3"/>
      <selection pane="bottomRight" activeCell="T2" sqref="T2"/>
    </sheetView>
  </sheetViews>
  <sheetFormatPr defaultColWidth="8.7109375" defaultRowHeight="12.75"/>
  <cols>
    <col min="1" max="1" width="26.28515625" style="410" customWidth="1"/>
    <col min="2" max="2" width="13.28515625" style="410" bestFit="1" customWidth="1"/>
    <col min="3" max="16" width="11.7109375" style="410" customWidth="1"/>
    <col min="17" max="16384" width="8.7109375" style="410"/>
  </cols>
  <sheetData>
    <row r="1" spans="1:17">
      <c r="A1" s="805" t="s">
        <v>294</v>
      </c>
      <c r="B1" s="421" t="s">
        <v>379</v>
      </c>
      <c r="C1" s="425" t="s">
        <v>769</v>
      </c>
      <c r="D1" s="425" t="s">
        <v>769</v>
      </c>
      <c r="E1" s="425" t="s">
        <v>810</v>
      </c>
      <c r="F1" s="425" t="s">
        <v>769</v>
      </c>
      <c r="G1" s="425" t="s">
        <v>769</v>
      </c>
      <c r="H1" s="425" t="s">
        <v>769</v>
      </c>
      <c r="I1" s="425" t="s">
        <v>769</v>
      </c>
      <c r="J1" s="425" t="s">
        <v>769</v>
      </c>
      <c r="K1" s="425" t="s">
        <v>769</v>
      </c>
      <c r="L1" s="425" t="s">
        <v>769</v>
      </c>
      <c r="M1" s="425" t="s">
        <v>769</v>
      </c>
      <c r="N1" s="425" t="s">
        <v>769</v>
      </c>
      <c r="O1" s="425" t="s">
        <v>769</v>
      </c>
      <c r="P1" s="425" t="s">
        <v>769</v>
      </c>
      <c r="Q1" s="418"/>
    </row>
    <row r="2" spans="1:17" ht="51">
      <c r="A2" s="805"/>
      <c r="B2" s="421" t="s">
        <v>378</v>
      </c>
      <c r="C2" s="424" t="s">
        <v>377</v>
      </c>
      <c r="D2" s="424" t="s">
        <v>445</v>
      </c>
      <c r="E2" s="424" t="s">
        <v>448</v>
      </c>
      <c r="F2" s="424" t="s">
        <v>447</v>
      </c>
      <c r="G2" s="424"/>
      <c r="H2" s="424"/>
      <c r="I2" s="424"/>
      <c r="J2" s="424"/>
      <c r="K2" s="424"/>
      <c r="L2" s="424"/>
      <c r="M2" s="424"/>
      <c r="N2" s="424"/>
      <c r="O2" s="424"/>
      <c r="P2" s="424"/>
      <c r="Q2" s="418"/>
    </row>
    <row r="3" spans="1:17">
      <c r="A3" s="805"/>
      <c r="B3" s="421" t="s">
        <v>376</v>
      </c>
      <c r="C3" s="423"/>
      <c r="D3" s="423"/>
      <c r="E3" s="423">
        <v>1</v>
      </c>
      <c r="F3" s="423"/>
      <c r="G3" s="423"/>
      <c r="H3" s="423"/>
      <c r="I3" s="423"/>
      <c r="J3" s="423"/>
      <c r="K3" s="423"/>
      <c r="L3" s="423"/>
      <c r="M3" s="423"/>
      <c r="N3" s="423"/>
      <c r="O3" s="423"/>
      <c r="P3" s="423"/>
      <c r="Q3" s="418"/>
    </row>
    <row r="4" spans="1:17">
      <c r="A4" s="805"/>
      <c r="B4" s="421" t="s">
        <v>243</v>
      </c>
      <c r="C4" s="423"/>
      <c r="D4" s="423"/>
      <c r="E4" s="423">
        <v>7</v>
      </c>
      <c r="F4" s="423"/>
      <c r="G4" s="423"/>
      <c r="H4" s="415"/>
      <c r="I4" s="415"/>
      <c r="J4" s="415"/>
      <c r="K4" s="415"/>
      <c r="L4" s="415"/>
      <c r="M4" s="415"/>
      <c r="N4" s="415"/>
      <c r="O4" s="415"/>
      <c r="P4" s="422"/>
      <c r="Q4" s="418"/>
    </row>
    <row r="5" spans="1:17">
      <c r="A5" s="805"/>
      <c r="B5" s="421" t="s">
        <v>375</v>
      </c>
      <c r="C5" s="420">
        <f t="shared" ref="C5:P5" si="0">C3*C4</f>
        <v>0</v>
      </c>
      <c r="D5" s="420">
        <f t="shared" si="0"/>
        <v>0</v>
      </c>
      <c r="E5" s="420">
        <f t="shared" si="0"/>
        <v>7</v>
      </c>
      <c r="F5" s="420">
        <f t="shared" si="0"/>
        <v>0</v>
      </c>
      <c r="G5" s="420">
        <f t="shared" si="0"/>
        <v>0</v>
      </c>
      <c r="H5" s="420">
        <f t="shared" si="0"/>
        <v>0</v>
      </c>
      <c r="I5" s="420">
        <f t="shared" si="0"/>
        <v>0</v>
      </c>
      <c r="J5" s="420">
        <f t="shared" si="0"/>
        <v>0</v>
      </c>
      <c r="K5" s="420">
        <f t="shared" si="0"/>
        <v>0</v>
      </c>
      <c r="L5" s="420">
        <f t="shared" si="0"/>
        <v>0</v>
      </c>
      <c r="M5" s="420">
        <f t="shared" si="0"/>
        <v>0</v>
      </c>
      <c r="N5" s="420">
        <f t="shared" si="0"/>
        <v>0</v>
      </c>
      <c r="O5" s="420">
        <f t="shared" si="0"/>
        <v>0</v>
      </c>
      <c r="P5" s="420">
        <f t="shared" si="0"/>
        <v>0</v>
      </c>
      <c r="Q5" s="418"/>
    </row>
    <row r="6" spans="1:17">
      <c r="A6" s="419" t="str">
        <f>IF(ISBLANK(MODULY_CBA!B3),"",MODULY_CBA!B3)</f>
        <v>Centrálny informačný systém na riadenie IT aktív</v>
      </c>
      <c r="B6" s="419">
        <f t="shared" ref="B6:B26" si="1">SUM(C6*C$5,D6*D$5,E6*E$5,F6*F$5,G6*G$5,H6*H$5,I6*I$5,J6*J$5,K6*K$5,L6*L$5,M6*M$5,N6*N$5,O6*O$5,P6*P$5)</f>
        <v>7</v>
      </c>
      <c r="C6" s="483"/>
      <c r="D6" s="483"/>
      <c r="E6" s="483">
        <v>1</v>
      </c>
      <c r="F6" s="483"/>
      <c r="G6" s="483"/>
      <c r="H6" s="483"/>
      <c r="I6" s="483"/>
      <c r="J6" s="483"/>
      <c r="K6" s="483"/>
      <c r="L6" s="483"/>
      <c r="M6" s="483"/>
      <c r="N6" s="483"/>
      <c r="O6" s="483"/>
      <c r="P6" s="483"/>
      <c r="Q6" s="418"/>
    </row>
    <row r="7" spans="1:17">
      <c r="A7" s="419" t="str">
        <f>IF(ISBLANK(MODULY_CBA!B4),"",MODULY_CBA!B4)</f>
        <v>Snow Risk Monitor</v>
      </c>
      <c r="B7" s="419">
        <f t="shared" si="1"/>
        <v>7</v>
      </c>
      <c r="C7" s="483"/>
      <c r="D7" s="483"/>
      <c r="E7" s="483">
        <v>1</v>
      </c>
      <c r="F7" s="483"/>
      <c r="G7" s="483"/>
      <c r="H7" s="483"/>
      <c r="I7" s="483"/>
      <c r="J7" s="483"/>
      <c r="K7" s="483"/>
      <c r="L7" s="483"/>
      <c r="M7" s="483"/>
      <c r="N7" s="483"/>
      <c r="O7" s="483"/>
      <c r="P7" s="483"/>
      <c r="Q7" s="418"/>
    </row>
    <row r="8" spans="1:17">
      <c r="A8" s="419" t="str">
        <f>IF(ISBLANK(MODULY_CBA!B5),"",MODULY_CBA!B5)</f>
        <v>BizzDesign / APM</v>
      </c>
      <c r="B8" s="419">
        <f t="shared" si="1"/>
        <v>7</v>
      </c>
      <c r="C8" s="483"/>
      <c r="D8" s="483"/>
      <c r="E8" s="483">
        <v>1</v>
      </c>
      <c r="F8" s="483"/>
      <c r="G8" s="483"/>
      <c r="H8" s="483"/>
      <c r="I8" s="483"/>
      <c r="J8" s="483"/>
      <c r="K8" s="483"/>
      <c r="L8" s="483"/>
      <c r="M8" s="483"/>
      <c r="N8" s="483"/>
      <c r="O8" s="483"/>
      <c r="P8" s="483"/>
      <c r="Q8" s="418"/>
    </row>
    <row r="9" spans="1:17">
      <c r="A9" s="419" t="str">
        <f>IF(ISBLANK(MODULY_CBA!B6),"",MODULY_CBA!B6)</f>
        <v>FinOps platforma</v>
      </c>
      <c r="B9" s="419">
        <f t="shared" si="1"/>
        <v>7</v>
      </c>
      <c r="C9" s="483"/>
      <c r="D9" s="483"/>
      <c r="E9" s="483">
        <v>1</v>
      </c>
      <c r="F9" s="483"/>
      <c r="G9" s="483"/>
      <c r="H9" s="483"/>
      <c r="I9" s="483"/>
      <c r="J9" s="483"/>
      <c r="K9" s="483"/>
      <c r="L9" s="483"/>
      <c r="M9" s="483"/>
      <c r="N9" s="483"/>
      <c r="O9" s="483"/>
      <c r="P9" s="483"/>
      <c r="Q9" s="418"/>
    </row>
    <row r="10" spans="1:17">
      <c r="A10" s="419" t="str">
        <f>IF(ISBLANK(MODULY_CBA!B7),"",MODULY_CBA!B7)</f>
        <v/>
      </c>
      <c r="B10" s="419">
        <f t="shared" si="1"/>
        <v>0</v>
      </c>
      <c r="C10" s="483"/>
      <c r="D10" s="483"/>
      <c r="E10" s="483"/>
      <c r="F10" s="483"/>
      <c r="G10" s="483"/>
      <c r="H10" s="483"/>
      <c r="I10" s="483"/>
      <c r="J10" s="483"/>
      <c r="K10" s="483"/>
      <c r="L10" s="483"/>
      <c r="M10" s="483"/>
      <c r="N10" s="483"/>
      <c r="O10" s="483"/>
      <c r="P10" s="483"/>
      <c r="Q10" s="418"/>
    </row>
    <row r="11" spans="1:17">
      <c r="A11" s="419" t="str">
        <f>IF(ISBLANK(MODULY_CBA!B8),"",MODULY_CBA!B8)</f>
        <v/>
      </c>
      <c r="B11" s="419">
        <f t="shared" si="1"/>
        <v>0</v>
      </c>
      <c r="C11" s="483"/>
      <c r="D11" s="483"/>
      <c r="E11" s="483"/>
      <c r="F11" s="483"/>
      <c r="G11" s="483"/>
      <c r="H11" s="483"/>
      <c r="I11" s="483"/>
      <c r="J11" s="483"/>
      <c r="K11" s="483"/>
      <c r="L11" s="483"/>
      <c r="M11" s="483"/>
      <c r="N11" s="483"/>
      <c r="O11" s="483"/>
      <c r="P11" s="483"/>
      <c r="Q11" s="418"/>
    </row>
    <row r="12" spans="1:17">
      <c r="A12" s="419" t="str">
        <f>IF(ISBLANK(MODULY_CBA!B9),"",MODULY_CBA!B9)</f>
        <v/>
      </c>
      <c r="B12" s="419">
        <f t="shared" si="1"/>
        <v>0</v>
      </c>
      <c r="C12" s="483"/>
      <c r="D12" s="483"/>
      <c r="E12" s="483"/>
      <c r="F12" s="483"/>
      <c r="G12" s="483"/>
      <c r="H12" s="483"/>
      <c r="I12" s="483"/>
      <c r="J12" s="483"/>
      <c r="K12" s="483"/>
      <c r="L12" s="483"/>
      <c r="M12" s="483"/>
      <c r="N12" s="483"/>
      <c r="O12" s="483"/>
      <c r="P12" s="483"/>
      <c r="Q12" s="418"/>
    </row>
    <row r="13" spans="1:17">
      <c r="A13" s="419" t="str">
        <f>IF(ISBLANK(MODULY_CBA!B10),"",MODULY_CBA!B10)</f>
        <v/>
      </c>
      <c r="B13" s="419">
        <f t="shared" si="1"/>
        <v>0</v>
      </c>
      <c r="C13" s="483"/>
      <c r="D13" s="483"/>
      <c r="E13" s="483"/>
      <c r="F13" s="483"/>
      <c r="G13" s="483"/>
      <c r="H13" s="483"/>
      <c r="I13" s="483"/>
      <c r="J13" s="483"/>
      <c r="K13" s="483"/>
      <c r="L13" s="483"/>
      <c r="M13" s="483"/>
      <c r="N13" s="483"/>
      <c r="O13" s="483"/>
      <c r="P13" s="483"/>
      <c r="Q13" s="418"/>
    </row>
    <row r="14" spans="1:17">
      <c r="A14" s="419" t="str">
        <f>IF(ISBLANK(MODULY_CBA!B11),"",MODULY_CBA!B11)</f>
        <v/>
      </c>
      <c r="B14" s="419">
        <f t="shared" si="1"/>
        <v>0</v>
      </c>
      <c r="C14" s="483"/>
      <c r="D14" s="483"/>
      <c r="E14" s="483"/>
      <c r="F14" s="483"/>
      <c r="G14" s="483"/>
      <c r="H14" s="483"/>
      <c r="I14" s="483"/>
      <c r="J14" s="483"/>
      <c r="K14" s="483"/>
      <c r="L14" s="483"/>
      <c r="M14" s="483"/>
      <c r="N14" s="483"/>
      <c r="O14" s="483"/>
      <c r="P14" s="483"/>
      <c r="Q14" s="418"/>
    </row>
    <row r="15" spans="1:17">
      <c r="A15" s="419" t="str">
        <f>IF(ISBLANK(MODULY_CBA!B12),"",MODULY_CBA!B12)</f>
        <v/>
      </c>
      <c r="B15" s="419">
        <f t="shared" si="1"/>
        <v>0</v>
      </c>
      <c r="C15" s="483"/>
      <c r="D15" s="483"/>
      <c r="E15" s="483"/>
      <c r="F15" s="483"/>
      <c r="G15" s="483"/>
      <c r="H15" s="483"/>
      <c r="I15" s="483"/>
      <c r="J15" s="483"/>
      <c r="K15" s="483"/>
      <c r="L15" s="483"/>
      <c r="M15" s="483"/>
      <c r="N15" s="483"/>
      <c r="O15" s="483"/>
      <c r="P15" s="483"/>
      <c r="Q15" s="418"/>
    </row>
    <row r="16" spans="1:17">
      <c r="A16" s="419" t="str">
        <f>IF(ISBLANK(MODULY_CBA!B13),"",MODULY_CBA!B13)</f>
        <v/>
      </c>
      <c r="B16" s="419">
        <f t="shared" si="1"/>
        <v>0</v>
      </c>
      <c r="C16" s="483"/>
      <c r="D16" s="483"/>
      <c r="E16" s="483"/>
      <c r="F16" s="483"/>
      <c r="G16" s="483"/>
      <c r="H16" s="483"/>
      <c r="I16" s="483"/>
      <c r="J16" s="483"/>
      <c r="K16" s="483"/>
      <c r="L16" s="483"/>
      <c r="M16" s="483"/>
      <c r="N16" s="483"/>
      <c r="O16" s="483"/>
      <c r="P16" s="483"/>
      <c r="Q16" s="418"/>
    </row>
    <row r="17" spans="1:17">
      <c r="A17" s="419" t="str">
        <f>IF(ISBLANK(MODULY_CBA!B14),"",MODULY_CBA!B14)</f>
        <v/>
      </c>
      <c r="B17" s="419">
        <f t="shared" si="1"/>
        <v>0</v>
      </c>
      <c r="C17" s="483"/>
      <c r="D17" s="483"/>
      <c r="E17" s="483"/>
      <c r="F17" s="483"/>
      <c r="G17" s="483"/>
      <c r="H17" s="483"/>
      <c r="I17" s="483"/>
      <c r="J17" s="483"/>
      <c r="K17" s="483"/>
      <c r="L17" s="483"/>
      <c r="M17" s="483"/>
      <c r="N17" s="483"/>
      <c r="O17" s="483"/>
      <c r="P17" s="483"/>
      <c r="Q17" s="418"/>
    </row>
    <row r="18" spans="1:17">
      <c r="A18" s="419" t="str">
        <f>IF(ISBLANK(MODULY_CBA!B15),"",MODULY_CBA!B15)</f>
        <v/>
      </c>
      <c r="B18" s="419">
        <f t="shared" si="1"/>
        <v>0</v>
      </c>
      <c r="C18" s="483"/>
      <c r="D18" s="483"/>
      <c r="E18" s="483"/>
      <c r="F18" s="483"/>
      <c r="G18" s="483"/>
      <c r="H18" s="483"/>
      <c r="I18" s="483"/>
      <c r="J18" s="483"/>
      <c r="K18" s="483"/>
      <c r="L18" s="483"/>
      <c r="M18" s="483"/>
      <c r="N18" s="483"/>
      <c r="O18" s="483"/>
      <c r="P18" s="483"/>
      <c r="Q18" s="418"/>
    </row>
    <row r="19" spans="1:17">
      <c r="A19" s="419" t="str">
        <f>IF(ISBLANK(MODULY_CBA!B16),"",MODULY_CBA!B16)</f>
        <v/>
      </c>
      <c r="B19" s="419">
        <f t="shared" si="1"/>
        <v>0</v>
      </c>
      <c r="C19" s="483"/>
      <c r="D19" s="483"/>
      <c r="E19" s="483"/>
      <c r="F19" s="483"/>
      <c r="G19" s="483"/>
      <c r="H19" s="483"/>
      <c r="I19" s="483"/>
      <c r="J19" s="483"/>
      <c r="K19" s="483"/>
      <c r="L19" s="483"/>
      <c r="M19" s="483"/>
      <c r="N19" s="483"/>
      <c r="O19" s="483"/>
      <c r="P19" s="483"/>
      <c r="Q19" s="418"/>
    </row>
    <row r="20" spans="1:17">
      <c r="A20" s="419" t="str">
        <f>IF(ISBLANK(MODULY_CBA!B17),"",MODULY_CBA!B17)</f>
        <v/>
      </c>
      <c r="B20" s="419">
        <f t="shared" si="1"/>
        <v>0</v>
      </c>
      <c r="C20" s="483"/>
      <c r="D20" s="483"/>
      <c r="E20" s="483"/>
      <c r="F20" s="483"/>
      <c r="G20" s="483"/>
      <c r="H20" s="483"/>
      <c r="I20" s="483"/>
      <c r="J20" s="483"/>
      <c r="K20" s="483"/>
      <c r="L20" s="483"/>
      <c r="M20" s="483"/>
      <c r="N20" s="483"/>
      <c r="O20" s="483"/>
      <c r="P20" s="483"/>
      <c r="Q20" s="418"/>
    </row>
    <row r="21" spans="1:17">
      <c r="A21" s="419" t="str">
        <f>IF(ISBLANK(MODULY_CBA!B18),"",MODULY_CBA!B18)</f>
        <v/>
      </c>
      <c r="B21" s="419">
        <f t="shared" si="1"/>
        <v>0</v>
      </c>
      <c r="C21" s="483"/>
      <c r="D21" s="483"/>
      <c r="E21" s="483"/>
      <c r="F21" s="483"/>
      <c r="G21" s="483"/>
      <c r="H21" s="483"/>
      <c r="I21" s="483"/>
      <c r="J21" s="483"/>
      <c r="K21" s="483"/>
      <c r="L21" s="483"/>
      <c r="M21" s="483"/>
      <c r="N21" s="483"/>
      <c r="O21" s="483"/>
      <c r="P21" s="483"/>
      <c r="Q21" s="418"/>
    </row>
    <row r="22" spans="1:17">
      <c r="A22" s="419" t="str">
        <f>IF(ISBLANK(MODULY_CBA!B19),"",MODULY_CBA!B19)</f>
        <v/>
      </c>
      <c r="B22" s="419">
        <f t="shared" si="1"/>
        <v>0</v>
      </c>
      <c r="C22" s="483"/>
      <c r="D22" s="483"/>
      <c r="E22" s="483"/>
      <c r="F22" s="483"/>
      <c r="G22" s="483"/>
      <c r="H22" s="483"/>
      <c r="I22" s="483"/>
      <c r="J22" s="483"/>
      <c r="K22" s="483"/>
      <c r="L22" s="483"/>
      <c r="M22" s="483"/>
      <c r="N22" s="483"/>
      <c r="O22" s="483"/>
      <c r="P22" s="483"/>
      <c r="Q22" s="418"/>
    </row>
    <row r="23" spans="1:17">
      <c r="A23" s="419" t="str">
        <f>IF(ISBLANK(MODULY_CBA!B20),"",MODULY_CBA!B20)</f>
        <v/>
      </c>
      <c r="B23" s="419">
        <f t="shared" si="1"/>
        <v>0</v>
      </c>
      <c r="C23" s="483"/>
      <c r="D23" s="483"/>
      <c r="E23" s="483"/>
      <c r="F23" s="483"/>
      <c r="G23" s="483"/>
      <c r="H23" s="483"/>
      <c r="I23" s="483"/>
      <c r="J23" s="483"/>
      <c r="K23" s="483"/>
      <c r="L23" s="483"/>
      <c r="M23" s="483"/>
      <c r="N23" s="483"/>
      <c r="O23" s="483"/>
      <c r="P23" s="483"/>
      <c r="Q23" s="418"/>
    </row>
    <row r="24" spans="1:17">
      <c r="A24" s="419" t="str">
        <f>IF(ISBLANK(MODULY_CBA!B21),"",MODULY_CBA!B21)</f>
        <v/>
      </c>
      <c r="B24" s="419">
        <f t="shared" si="1"/>
        <v>0</v>
      </c>
      <c r="C24" s="483"/>
      <c r="D24" s="483"/>
      <c r="E24" s="483"/>
      <c r="F24" s="483"/>
      <c r="G24" s="483"/>
      <c r="H24" s="483"/>
      <c r="I24" s="483"/>
      <c r="J24" s="483"/>
      <c r="K24" s="483"/>
      <c r="L24" s="483"/>
      <c r="M24" s="483"/>
      <c r="N24" s="483"/>
      <c r="O24" s="483"/>
      <c r="P24" s="483"/>
      <c r="Q24" s="418"/>
    </row>
    <row r="25" spans="1:17">
      <c r="A25" s="419" t="str">
        <f>IF(ISBLANK(MODULY_CBA!B22),"",MODULY_CBA!B22)</f>
        <v/>
      </c>
      <c r="B25" s="419">
        <f t="shared" si="1"/>
        <v>0</v>
      </c>
      <c r="C25" s="483"/>
      <c r="D25" s="483"/>
      <c r="E25" s="483"/>
      <c r="F25" s="483"/>
      <c r="G25" s="483"/>
      <c r="H25" s="483"/>
      <c r="I25" s="483"/>
      <c r="J25" s="483"/>
      <c r="K25" s="483"/>
      <c r="L25" s="483"/>
      <c r="M25" s="483"/>
      <c r="N25" s="483"/>
      <c r="O25" s="483"/>
      <c r="P25" s="483"/>
      <c r="Q25" s="418"/>
    </row>
    <row r="26" spans="1:17">
      <c r="A26" s="419" t="str">
        <f>IF(ISBLANK(MODULY_CBA!B23),"",MODULY_CBA!B23)</f>
        <v/>
      </c>
      <c r="B26" s="419">
        <f t="shared" si="1"/>
        <v>0</v>
      </c>
      <c r="C26" s="483"/>
      <c r="D26" s="483"/>
      <c r="E26" s="483"/>
      <c r="F26" s="483"/>
      <c r="G26" s="483"/>
      <c r="H26" s="483"/>
      <c r="I26" s="483"/>
      <c r="J26" s="483"/>
      <c r="K26" s="483"/>
      <c r="L26" s="483"/>
      <c r="M26" s="483"/>
      <c r="N26" s="483"/>
      <c r="O26" s="483"/>
      <c r="P26" s="483"/>
      <c r="Q26" s="418"/>
    </row>
  </sheetData>
  <mergeCells count="1">
    <mergeCell ref="A1:A5"/>
  </mergeCells>
  <dataValidations count="2">
    <dataValidation type="list" allowBlank="1" showInputMessage="1" showErrorMessage="1" sqref="C2:P2" xr:uid="{00000000-0002-0000-0E00-000000000000}">
      <formula1>Subjekt</formula1>
    </dataValidation>
    <dataValidation type="list" allowBlank="1" showInputMessage="1" showErrorMessage="1" sqref="C3:P3" xr:uid="{00000000-0002-0000-0E00-000001000000}">
      <formula1>"1,2,3"</formula1>
    </dataValidation>
  </dataValidations>
  <pageMargins left="0.7" right="0.7" top="0.75" bottom="0.75" header="0.3" footer="0.3"/>
  <pageSetup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árok18">
    <tabColor rgb="FF00B050"/>
  </sheetPr>
  <dimension ref="A1:X64"/>
  <sheetViews>
    <sheetView topLeftCell="B1" zoomScaleNormal="100" workbookViewId="0">
      <pane ySplit="3" topLeftCell="A4" activePane="bottomLeft" state="frozen"/>
      <selection activeCell="J3" sqref="J3:J11"/>
      <selection pane="bottomLeft" activeCell="M1" sqref="M1"/>
    </sheetView>
  </sheetViews>
  <sheetFormatPr defaultColWidth="8.7109375" defaultRowHeight="15"/>
  <cols>
    <col min="1" max="1" width="31.42578125" style="365" customWidth="1"/>
    <col min="2" max="4" width="10.7109375" style="365" customWidth="1"/>
    <col min="5" max="5" width="15.42578125" style="365" customWidth="1"/>
    <col min="6" max="6" width="28.28515625" style="365" customWidth="1"/>
    <col min="7" max="7" width="28.28515625" style="365" hidden="1" customWidth="1"/>
    <col min="8" max="8" width="28.28515625" style="365" customWidth="1"/>
    <col min="9" max="9" width="13.140625" style="365" bestFit="1" customWidth="1"/>
    <col min="10" max="10" width="11.28515625" style="365" customWidth="1"/>
    <col min="11" max="11" width="10.7109375" style="365" bestFit="1" customWidth="1"/>
    <col min="12" max="12" width="10" style="365" customWidth="1"/>
    <col min="13" max="13" width="17" style="365" customWidth="1"/>
    <col min="14" max="14" width="12.7109375" style="365" bestFit="1" customWidth="1"/>
    <col min="15" max="15" width="11.140625" style="365" bestFit="1" customWidth="1"/>
    <col min="16" max="16" width="8.7109375" style="365"/>
    <col min="17" max="17" width="43.140625" style="365" customWidth="1"/>
    <col min="18" max="18" width="16.140625" style="365" customWidth="1"/>
    <col min="19" max="19" width="13.7109375" style="365" customWidth="1"/>
    <col min="20" max="20" width="12.28515625" style="365" bestFit="1" customWidth="1"/>
    <col min="21" max="23" width="12.28515625" style="365" customWidth="1"/>
    <col min="24" max="24" width="34.5703125" style="365" bestFit="1" customWidth="1"/>
    <col min="25" max="16384" width="8.7109375" style="365"/>
  </cols>
  <sheetData>
    <row r="1" spans="1:24">
      <c r="F1" s="806" t="s">
        <v>675</v>
      </c>
      <c r="G1" s="806"/>
      <c r="H1" s="806"/>
      <c r="I1" s="806"/>
      <c r="J1" s="806"/>
      <c r="K1" s="442">
        <f>SUM(K4:K39)</f>
        <v>3565</v>
      </c>
      <c r="M1" s="444">
        <f>SUM(M4:M39)</f>
        <v>2511975</v>
      </c>
      <c r="N1" s="509">
        <f>1.2*M1</f>
        <v>3014370</v>
      </c>
      <c r="O1" s="509">
        <f>N1-M1</f>
        <v>502395</v>
      </c>
    </row>
    <row r="2" spans="1:24">
      <c r="D2" s="443">
        <f>SUM(D3:D39)</f>
        <v>3565</v>
      </c>
      <c r="F2" s="807" t="s">
        <v>676</v>
      </c>
      <c r="G2" s="807"/>
      <c r="H2" s="807"/>
      <c r="I2" s="807"/>
      <c r="J2" s="807"/>
      <c r="K2" s="442">
        <f>SUM(K41:K64)</f>
        <v>0</v>
      </c>
      <c r="M2" s="444">
        <f>SUM(M41:M64)</f>
        <v>0</v>
      </c>
    </row>
    <row r="3" spans="1:24" s="481" customFormat="1" ht="60">
      <c r="A3" s="479" t="s">
        <v>261</v>
      </c>
      <c r="B3" s="480" t="s">
        <v>265</v>
      </c>
      <c r="C3" s="480" t="s">
        <v>737</v>
      </c>
      <c r="D3" s="480" t="s">
        <v>418</v>
      </c>
      <c r="E3" s="480" t="s">
        <v>417</v>
      </c>
      <c r="F3" s="480" t="s">
        <v>399</v>
      </c>
      <c r="G3" s="480" t="s">
        <v>710</v>
      </c>
      <c r="H3" s="480" t="s">
        <v>701</v>
      </c>
      <c r="I3" s="480" t="s">
        <v>702</v>
      </c>
      <c r="J3" s="480" t="s">
        <v>415</v>
      </c>
      <c r="K3" s="480" t="s">
        <v>266</v>
      </c>
      <c r="L3" s="480" t="s">
        <v>731</v>
      </c>
      <c r="M3" s="480" t="s">
        <v>732</v>
      </c>
      <c r="Q3" s="478" t="s">
        <v>770</v>
      </c>
      <c r="R3" s="478" t="s">
        <v>682</v>
      </c>
      <c r="S3" s="478" t="s">
        <v>728</v>
      </c>
      <c r="T3" s="478" t="s">
        <v>683</v>
      </c>
      <c r="U3" s="478" t="s">
        <v>413</v>
      </c>
      <c r="V3" s="478" t="s">
        <v>419</v>
      </c>
      <c r="W3" s="478" t="s">
        <v>771</v>
      </c>
      <c r="X3" s="478" t="s">
        <v>412</v>
      </c>
    </row>
    <row r="4" spans="1:24">
      <c r="A4" s="370" t="s">
        <v>262</v>
      </c>
      <c r="B4" s="553">
        <v>0.25</v>
      </c>
      <c r="C4" s="552">
        <f>SUM(K4:K15)/$K$1</f>
        <v>0.39971949509116411</v>
      </c>
      <c r="D4" s="484">
        <f>SUM(K4:K10)</f>
        <v>1425</v>
      </c>
      <c r="E4" s="485">
        <f>IFERROR(SUM(M4:M15)/SUM(K4:K15),0)</f>
        <v>675.87368421052633</v>
      </c>
      <c r="F4" s="551" t="s">
        <v>403</v>
      </c>
      <c r="G4" s="551" t="str">
        <f>IFERROR(VLOOKUP(F4,ISCO_Prevodnik!$A$10:$B$21,2,0),"")</f>
        <v>Projektovy_manazer</v>
      </c>
      <c r="H4" s="551"/>
      <c r="I4" s="551" t="str">
        <f>IFERROR(VLOOKUP(H4,ISCO_Prevodnik!$E$10:$F$31,2,0),"")</f>
        <v/>
      </c>
      <c r="J4" s="552"/>
      <c r="K4" s="484">
        <v>40</v>
      </c>
      <c r="L4" s="492">
        <f>IFERROR(VLOOKUP(F4,$Q$4:$S$27,3,0),0)</f>
        <v>539</v>
      </c>
      <c r="M4" s="486">
        <f>K4*L4</f>
        <v>21560</v>
      </c>
      <c r="O4" s="673"/>
      <c r="Q4" s="433" t="s">
        <v>400</v>
      </c>
      <c r="R4" s="554"/>
      <c r="S4" s="504">
        <v>525</v>
      </c>
      <c r="T4" s="434">
        <v>0.1</v>
      </c>
      <c r="U4" s="436">
        <f>SUMIF($F$4:$F$64,Q4,$K$4:$K$64)</f>
        <v>325</v>
      </c>
      <c r="V4" s="434">
        <f t="shared" ref="V4:V15" si="0">IF(U4=0,0%,U4/SUM($U$4:$U$15))</f>
        <v>9.1164095371669002E-2</v>
      </c>
      <c r="W4" s="434" t="str">
        <f t="shared" ref="W4:W15" si="1">IFERROR(IF(U4/SUM($U$4:$U$15)&gt;T4,"NAD","OK"),"")</f>
        <v>OK</v>
      </c>
      <c r="X4" s="435"/>
    </row>
    <row r="5" spans="1:24">
      <c r="A5" s="367"/>
      <c r="B5" s="367"/>
      <c r="C5" s="367"/>
      <c r="D5" s="367"/>
      <c r="E5" s="367"/>
      <c r="F5" s="551" t="s">
        <v>407</v>
      </c>
      <c r="G5" s="551" t="str">
        <f>IFERROR(VLOOKUP(F5,ISCO_Prevodnik!$A$10:$B$21,2,0),"")</f>
        <v>Infrastrutkura</v>
      </c>
      <c r="H5" s="551"/>
      <c r="I5" s="551" t="str">
        <f>IFERROR(VLOOKUP(H5,ISCO_Prevodnik!$E$10:$F$31,2,0),"")</f>
        <v/>
      </c>
      <c r="J5" s="552"/>
      <c r="K5" s="484">
        <v>310</v>
      </c>
      <c r="L5" s="492">
        <f>IFERROR(VLOOKUP(F5,$Q$4:$S$27,2,0),0)</f>
        <v>750</v>
      </c>
      <c r="M5" s="486">
        <f>K5*L5</f>
        <v>232500</v>
      </c>
      <c r="O5" s="673"/>
      <c r="Q5" s="433" t="s">
        <v>401</v>
      </c>
      <c r="R5" s="554"/>
      <c r="S5" s="504">
        <v>377</v>
      </c>
      <c r="T5" s="434">
        <v>0.15</v>
      </c>
      <c r="U5" s="436">
        <f t="shared" ref="U5:U27" si="2">SUMIF($F$4:$F$64,Q5,$K$4:$K$64)</f>
        <v>0</v>
      </c>
      <c r="V5" s="434">
        <f t="shared" si="0"/>
        <v>0</v>
      </c>
      <c r="W5" s="434" t="str">
        <f t="shared" si="1"/>
        <v>OK</v>
      </c>
      <c r="X5" s="435"/>
    </row>
    <row r="6" spans="1:24">
      <c r="A6" s="367"/>
      <c r="B6" s="367"/>
      <c r="C6" s="367"/>
      <c r="D6" s="367"/>
      <c r="E6" s="367"/>
      <c r="F6" s="551" t="s">
        <v>404</v>
      </c>
      <c r="G6" s="551" t="str">
        <f>IFERROR(VLOOKUP(F6,ISCO_Prevodnik!$A$10:$B$21,2,0),"")</f>
        <v>IT_analytik</v>
      </c>
      <c r="H6" s="551"/>
      <c r="I6" s="551" t="str">
        <f>IFERROR(VLOOKUP(H6,ISCO_Prevodnik!$E$10:$F$31,2,0),"")</f>
        <v/>
      </c>
      <c r="J6" s="552"/>
      <c r="K6" s="484">
        <v>145</v>
      </c>
      <c r="L6" s="492">
        <f>IFERROR(VLOOKUP(F6,$Q$4:$S$27,2,0),0)</f>
        <v>750</v>
      </c>
      <c r="M6" s="486">
        <f t="shared" ref="M6:M33" si="3">K6*L6</f>
        <v>108750</v>
      </c>
      <c r="O6" s="673"/>
      <c r="Q6" s="433" t="s">
        <v>402</v>
      </c>
      <c r="R6" s="554"/>
      <c r="S6" s="508">
        <v>420</v>
      </c>
      <c r="T6" s="434">
        <v>0.6</v>
      </c>
      <c r="U6" s="436">
        <f t="shared" si="2"/>
        <v>0</v>
      </c>
      <c r="V6" s="434">
        <f t="shared" si="0"/>
        <v>0</v>
      </c>
      <c r="W6" s="434" t="str">
        <f t="shared" si="1"/>
        <v>OK</v>
      </c>
      <c r="X6" s="435"/>
    </row>
    <row r="7" spans="1:24">
      <c r="A7" s="367"/>
      <c r="B7" s="367"/>
      <c r="C7" s="367"/>
      <c r="D7" s="367"/>
      <c r="E7" s="367"/>
      <c r="F7" s="551" t="s">
        <v>410</v>
      </c>
      <c r="G7" s="551" t="str">
        <f>IFERROR(VLOOKUP(F7,ISCO_Prevodnik!$A$10:$B$21,2,0),"")</f>
        <v>IT_konzultant</v>
      </c>
      <c r="H7" s="551"/>
      <c r="I7" s="551" t="str">
        <f>IFERROR(VLOOKUP(H7,ISCO_Prevodnik!$E$10:$F$31,2,0),"")</f>
        <v/>
      </c>
      <c r="J7" s="552"/>
      <c r="K7" s="484">
        <v>350</v>
      </c>
      <c r="L7" s="492">
        <f>IFERROR(VLOOKUP(F7,$Q$4:$S$27,2,0),0)</f>
        <v>790</v>
      </c>
      <c r="M7" s="486">
        <f t="shared" si="3"/>
        <v>276500</v>
      </c>
      <c r="O7" s="673"/>
      <c r="Q7" s="433" t="s">
        <v>403</v>
      </c>
      <c r="R7" s="554"/>
      <c r="S7" s="508">
        <v>539</v>
      </c>
      <c r="T7" s="434">
        <v>0.04</v>
      </c>
      <c r="U7" s="436">
        <f t="shared" si="2"/>
        <v>140</v>
      </c>
      <c r="V7" s="434">
        <f>IF(U7=0,0%,U7/SUM($U$4:$U$15))</f>
        <v>3.9270687237026647E-2</v>
      </c>
      <c r="W7" s="434" t="str">
        <f t="shared" si="1"/>
        <v>OK</v>
      </c>
      <c r="X7" s="435"/>
    </row>
    <row r="8" spans="1:24">
      <c r="A8" s="367"/>
      <c r="B8" s="367"/>
      <c r="C8" s="367"/>
      <c r="D8" s="367"/>
      <c r="E8" s="367"/>
      <c r="F8" s="551" t="s">
        <v>406</v>
      </c>
      <c r="G8" s="551" t="str">
        <f>IFERROR(VLOOKUP(F8,ISCO_Prevodnik!$A$10:$B$21,2,0),"")</f>
        <v>Bezpecnost</v>
      </c>
      <c r="H8" s="551"/>
      <c r="I8" s="551" t="str">
        <f>IFERROR(VLOOKUP(H8,ISCO_Prevodnik!$E$10:$F$31,2,0),"")</f>
        <v/>
      </c>
      <c r="J8" s="552"/>
      <c r="K8" s="484">
        <v>230</v>
      </c>
      <c r="L8" s="492">
        <f t="shared" ref="L8:L33" si="4">IFERROR(VLOOKUP(F8,$Q$4:$S$27,3,0),0)</f>
        <v>472</v>
      </c>
      <c r="M8" s="486">
        <f t="shared" si="3"/>
        <v>108560</v>
      </c>
      <c r="O8" s="673"/>
      <c r="Q8" s="433" t="s">
        <v>404</v>
      </c>
      <c r="R8" s="554">
        <v>750</v>
      </c>
      <c r="S8" s="508">
        <v>529</v>
      </c>
      <c r="T8" s="434">
        <v>0.5</v>
      </c>
      <c r="U8" s="436">
        <f t="shared" si="2"/>
        <v>530</v>
      </c>
      <c r="V8" s="434">
        <f t="shared" si="0"/>
        <v>0.14866760168302945</v>
      </c>
      <c r="W8" s="434" t="str">
        <f t="shared" si="1"/>
        <v>OK</v>
      </c>
      <c r="X8" s="435" t="s">
        <v>803</v>
      </c>
    </row>
    <row r="9" spans="1:24">
      <c r="A9" s="367"/>
      <c r="B9" s="367"/>
      <c r="C9" s="367"/>
      <c r="D9" s="367"/>
      <c r="E9" s="367"/>
      <c r="F9" s="551" t="s">
        <v>400</v>
      </c>
      <c r="G9" s="551" t="str">
        <f>IFERROR(VLOOKUP(F9,ISCO_Prevodnik!$A$10:$B$21,2,0),"")</f>
        <v>IT_architekt</v>
      </c>
      <c r="H9" s="551"/>
      <c r="I9" s="551" t="str">
        <f>IFERROR(VLOOKUP(H9,ISCO_Prevodnik!$E$10:$F$31,2,0),"")</f>
        <v/>
      </c>
      <c r="J9" s="552"/>
      <c r="K9" s="484">
        <v>210</v>
      </c>
      <c r="L9" s="492">
        <f t="shared" si="4"/>
        <v>525</v>
      </c>
      <c r="M9" s="486">
        <f t="shared" si="3"/>
        <v>110250</v>
      </c>
      <c r="O9" s="673"/>
      <c r="Q9" s="433" t="s">
        <v>405</v>
      </c>
      <c r="R9" s="554"/>
      <c r="S9" s="508">
        <v>520</v>
      </c>
      <c r="T9" s="434">
        <v>0.05</v>
      </c>
      <c r="U9" s="436">
        <f t="shared" si="2"/>
        <v>0</v>
      </c>
      <c r="V9" s="434">
        <f t="shared" si="0"/>
        <v>0</v>
      </c>
      <c r="W9" s="434" t="str">
        <f t="shared" si="1"/>
        <v>OK</v>
      </c>
      <c r="X9" s="435"/>
    </row>
    <row r="10" spans="1:24">
      <c r="A10" s="367"/>
      <c r="B10" s="367"/>
      <c r="C10" s="367"/>
      <c r="D10" s="367"/>
      <c r="E10" s="367"/>
      <c r="F10" s="551" t="s">
        <v>411</v>
      </c>
      <c r="G10" s="551" t="str">
        <f>IFERROR(VLOOKUP(F10,ISCO_Prevodnik!$A$10:$B$21,2,0),"")</f>
        <v>Ine</v>
      </c>
      <c r="H10" s="551"/>
      <c r="I10" s="551" t="str">
        <f>IFERROR(VLOOKUP(H10,ISCO_Prevodnik!$E$10:$F$31,2,0),"")</f>
        <v/>
      </c>
      <c r="J10" s="552"/>
      <c r="K10" s="484">
        <v>140</v>
      </c>
      <c r="L10" s="492">
        <f>IFERROR(VLOOKUP(F10,$Q$4:$S$27,2,0),0)</f>
        <v>750</v>
      </c>
      <c r="M10" s="486">
        <f t="shared" ref="M10:M15" si="5">K10*L10</f>
        <v>105000</v>
      </c>
      <c r="O10" s="673"/>
      <c r="Q10" s="433" t="s">
        <v>406</v>
      </c>
      <c r="R10" s="554"/>
      <c r="S10" s="508">
        <v>472</v>
      </c>
      <c r="T10" s="434">
        <v>0.1</v>
      </c>
      <c r="U10" s="436">
        <f t="shared" si="2"/>
        <v>345</v>
      </c>
      <c r="V10" s="434">
        <f t="shared" si="0"/>
        <v>9.6774193548387094E-2</v>
      </c>
      <c r="W10" s="434" t="str">
        <f t="shared" si="1"/>
        <v>OK</v>
      </c>
      <c r="X10" s="435"/>
    </row>
    <row r="11" spans="1:24">
      <c r="A11" s="367"/>
      <c r="B11" s="367"/>
      <c r="C11" s="367"/>
      <c r="D11" s="367"/>
      <c r="E11" s="367"/>
      <c r="F11" s="551"/>
      <c r="G11" s="551" t="str">
        <f>IFERROR(VLOOKUP(F11,ISCO_Prevodnik!$A$10:$B$21,2,0),"")</f>
        <v/>
      </c>
      <c r="H11" s="551"/>
      <c r="I11" s="551" t="str">
        <f>IFERROR(VLOOKUP(H11,ISCO_Prevodnik!$E$10:$F$31,2,0),"")</f>
        <v/>
      </c>
      <c r="J11" s="552"/>
      <c r="K11" s="484">
        <v>0</v>
      </c>
      <c r="L11" s="492">
        <f t="shared" si="4"/>
        <v>0</v>
      </c>
      <c r="M11" s="486">
        <f t="shared" si="5"/>
        <v>0</v>
      </c>
      <c r="O11" s="673"/>
      <c r="Q11" s="433" t="s">
        <v>407</v>
      </c>
      <c r="R11" s="554">
        <v>750</v>
      </c>
      <c r="S11" s="508">
        <v>425</v>
      </c>
      <c r="T11" s="434">
        <v>0.3</v>
      </c>
      <c r="U11" s="436">
        <f t="shared" si="2"/>
        <v>735</v>
      </c>
      <c r="V11" s="434">
        <f t="shared" si="0"/>
        <v>0.2061711079943899</v>
      </c>
      <c r="W11" s="434" t="str">
        <f t="shared" si="1"/>
        <v>OK</v>
      </c>
      <c r="X11" s="435" t="s">
        <v>804</v>
      </c>
    </row>
    <row r="12" spans="1:24">
      <c r="A12" s="367"/>
      <c r="B12" s="367"/>
      <c r="C12" s="367"/>
      <c r="D12" s="367"/>
      <c r="E12" s="367"/>
      <c r="F12" s="551"/>
      <c r="G12" s="551" t="str">
        <f>IFERROR(VLOOKUP(F12,ISCO_Prevodnik!$A$10:$B$21,2,0),"")</f>
        <v/>
      </c>
      <c r="H12" s="551"/>
      <c r="I12" s="551" t="str">
        <f>IFERROR(VLOOKUP(H12,ISCO_Prevodnik!$E$10:$F$31,2,0),"")</f>
        <v/>
      </c>
      <c r="J12" s="552"/>
      <c r="K12" s="484">
        <v>0</v>
      </c>
      <c r="L12" s="492">
        <f t="shared" si="4"/>
        <v>0</v>
      </c>
      <c r="M12" s="486">
        <f t="shared" si="5"/>
        <v>0</v>
      </c>
      <c r="O12" s="673"/>
      <c r="Q12" s="433" t="s">
        <v>408</v>
      </c>
      <c r="R12" s="554"/>
      <c r="S12" s="508">
        <v>451</v>
      </c>
      <c r="T12" s="434">
        <v>0.15</v>
      </c>
      <c r="U12" s="436">
        <f t="shared" si="2"/>
        <v>0</v>
      </c>
      <c r="V12" s="434">
        <f t="shared" si="0"/>
        <v>0</v>
      </c>
      <c r="W12" s="434" t="str">
        <f t="shared" si="1"/>
        <v>OK</v>
      </c>
      <c r="X12" s="435"/>
    </row>
    <row r="13" spans="1:24">
      <c r="A13" s="367"/>
      <c r="B13" s="367"/>
      <c r="C13" s="367"/>
      <c r="D13" s="367"/>
      <c r="E13" s="367"/>
      <c r="F13" s="551"/>
      <c r="G13" s="551" t="str">
        <f>IFERROR(VLOOKUP(F13,ISCO_Prevodnik!$A$10:$B$21,2,0),"")</f>
        <v/>
      </c>
      <c r="H13" s="551"/>
      <c r="I13" s="551" t="str">
        <f>IFERROR(VLOOKUP(H13,ISCO_Prevodnik!$E$10:$F$31,2,0),"")</f>
        <v/>
      </c>
      <c r="J13" s="552"/>
      <c r="K13" s="484">
        <v>0</v>
      </c>
      <c r="L13" s="492">
        <f t="shared" si="4"/>
        <v>0</v>
      </c>
      <c r="M13" s="486">
        <f t="shared" si="5"/>
        <v>0</v>
      </c>
      <c r="O13" s="673"/>
      <c r="Q13" s="433" t="s">
        <v>409</v>
      </c>
      <c r="R13" s="554"/>
      <c r="S13" s="508">
        <v>400</v>
      </c>
      <c r="T13" s="434">
        <v>0.05</v>
      </c>
      <c r="U13" s="436">
        <f t="shared" si="2"/>
        <v>0</v>
      </c>
      <c r="V13" s="434">
        <f t="shared" si="0"/>
        <v>0</v>
      </c>
      <c r="W13" s="434" t="str">
        <f t="shared" si="1"/>
        <v>OK</v>
      </c>
      <c r="X13" s="435"/>
    </row>
    <row r="14" spans="1:24">
      <c r="A14" s="367"/>
      <c r="B14" s="367"/>
      <c r="C14" s="367"/>
      <c r="D14" s="367"/>
      <c r="E14" s="367"/>
      <c r="F14" s="551"/>
      <c r="G14" s="551" t="str">
        <f>IFERROR(VLOOKUP(F14,ISCO_Prevodnik!$A$10:$B$21,2,0),"")</f>
        <v/>
      </c>
      <c r="H14" s="551"/>
      <c r="I14" s="551" t="str">
        <f>IFERROR(VLOOKUP(H14,ISCO_Prevodnik!$E$10:$F$31,2,0),"")</f>
        <v/>
      </c>
      <c r="J14" s="552"/>
      <c r="K14" s="484">
        <v>0</v>
      </c>
      <c r="L14" s="492">
        <f t="shared" si="4"/>
        <v>0</v>
      </c>
      <c r="M14" s="486">
        <f t="shared" si="5"/>
        <v>0</v>
      </c>
      <c r="O14" s="673"/>
      <c r="Q14" s="433" t="s">
        <v>410</v>
      </c>
      <c r="R14" s="554">
        <v>790</v>
      </c>
      <c r="S14" s="508">
        <v>488</v>
      </c>
      <c r="T14" s="434">
        <v>0.5</v>
      </c>
      <c r="U14" s="436">
        <f t="shared" si="2"/>
        <v>920</v>
      </c>
      <c r="V14" s="434">
        <f t="shared" si="0"/>
        <v>0.25806451612903225</v>
      </c>
      <c r="W14" s="434" t="str">
        <f t="shared" si="1"/>
        <v>OK</v>
      </c>
      <c r="X14" s="435" t="s">
        <v>806</v>
      </c>
    </row>
    <row r="15" spans="1:24">
      <c r="A15" s="367"/>
      <c r="B15" s="367"/>
      <c r="C15" s="367"/>
      <c r="D15" s="367"/>
      <c r="E15" s="367"/>
      <c r="F15" s="551"/>
      <c r="G15" s="551" t="str">
        <f>IFERROR(VLOOKUP(F15,ISCO_Prevodnik!$A$10:$B$21,2,0),"")</f>
        <v/>
      </c>
      <c r="H15" s="551"/>
      <c r="I15" s="551" t="str">
        <f>IFERROR(VLOOKUP(H15,ISCO_Prevodnik!$E$10:$F$31,2,0),"")</f>
        <v/>
      </c>
      <c r="J15" s="552"/>
      <c r="K15" s="484">
        <v>0</v>
      </c>
      <c r="L15" s="492">
        <f t="shared" si="4"/>
        <v>0</v>
      </c>
      <c r="M15" s="486">
        <f t="shared" si="5"/>
        <v>0</v>
      </c>
      <c r="O15" s="673"/>
      <c r="Q15" s="433" t="s">
        <v>411</v>
      </c>
      <c r="R15" s="554">
        <v>750</v>
      </c>
      <c r="S15" s="508">
        <v>400</v>
      </c>
      <c r="T15" s="434">
        <v>0.2</v>
      </c>
      <c r="U15" s="436">
        <f t="shared" si="2"/>
        <v>570</v>
      </c>
      <c r="V15" s="434">
        <f t="shared" si="0"/>
        <v>0.15988779803646563</v>
      </c>
      <c r="W15" s="434" t="str">
        <f t="shared" si="1"/>
        <v>OK</v>
      </c>
      <c r="X15" s="435" t="s">
        <v>805</v>
      </c>
    </row>
    <row r="16" spans="1:24">
      <c r="A16" s="370" t="s">
        <v>541</v>
      </c>
      <c r="B16" s="553">
        <v>0.6</v>
      </c>
      <c r="C16" s="552">
        <f>SUM(K16:K27)/$K$1</f>
        <v>0.46704067321178122</v>
      </c>
      <c r="D16" s="484">
        <f>SUM(K16:K22)</f>
        <v>1665</v>
      </c>
      <c r="E16" s="640">
        <f>IFERROR(SUM(M16:M27)/SUM(K16:K27),0)</f>
        <v>731.8048048048048</v>
      </c>
      <c r="F16" s="551" t="s">
        <v>403</v>
      </c>
      <c r="G16" s="551" t="str">
        <f>IFERROR(VLOOKUP(F16,ISCO_Prevodnik!$A$10:$B$21,2,0),"")</f>
        <v>Projektovy_manazer</v>
      </c>
      <c r="H16" s="551"/>
      <c r="I16" s="551" t="str">
        <f>IFERROR(VLOOKUP(H16,ISCO_Prevodnik!$E$10:$F$31,2,0),"")</f>
        <v/>
      </c>
      <c r="J16" s="552"/>
      <c r="K16" s="484">
        <v>70</v>
      </c>
      <c r="L16" s="492">
        <f t="shared" si="4"/>
        <v>539</v>
      </c>
      <c r="M16" s="486">
        <f t="shared" si="3"/>
        <v>37730</v>
      </c>
      <c r="O16" s="673"/>
      <c r="Q16" s="643" t="s">
        <v>431</v>
      </c>
      <c r="R16" s="554"/>
      <c r="S16" s="508" t="s">
        <v>457</v>
      </c>
      <c r="T16" s="434" t="s">
        <v>457</v>
      </c>
      <c r="U16" s="436">
        <f t="shared" si="2"/>
        <v>0</v>
      </c>
      <c r="V16" s="434" t="s">
        <v>457</v>
      </c>
      <c r="W16" s="434" t="s">
        <v>457</v>
      </c>
      <c r="X16" s="435"/>
    </row>
    <row r="17" spans="1:24">
      <c r="A17" s="367"/>
      <c r="B17" s="367"/>
      <c r="C17" s="367"/>
      <c r="D17" s="367"/>
      <c r="E17" s="367"/>
      <c r="F17" s="551" t="s">
        <v>407</v>
      </c>
      <c r="G17" s="551" t="str">
        <f>IFERROR(VLOOKUP(F17,ISCO_Prevodnik!$A$10:$B$21,2,0),"")</f>
        <v>Infrastrutkura</v>
      </c>
      <c r="H17" s="551"/>
      <c r="I17" s="551" t="str">
        <f>IFERROR(VLOOKUP(H17,ISCO_Prevodnik!$E$10:$F$31,2,0),"")</f>
        <v/>
      </c>
      <c r="J17" s="552"/>
      <c r="K17" s="484">
        <v>355</v>
      </c>
      <c r="L17" s="492">
        <f>IFERROR(VLOOKUP(F17,$Q$4:$S$27,2,0),0)</f>
        <v>750</v>
      </c>
      <c r="M17" s="486">
        <f t="shared" si="3"/>
        <v>266250</v>
      </c>
      <c r="O17" s="673"/>
      <c r="Q17" s="643" t="s">
        <v>436</v>
      </c>
      <c r="R17" s="554"/>
      <c r="S17" s="508" t="s">
        <v>457</v>
      </c>
      <c r="T17" s="434" t="s">
        <v>457</v>
      </c>
      <c r="U17" s="436">
        <f t="shared" si="2"/>
        <v>0</v>
      </c>
      <c r="V17" s="434" t="s">
        <v>457</v>
      </c>
      <c r="W17" s="434" t="s">
        <v>457</v>
      </c>
      <c r="X17" s="435"/>
    </row>
    <row r="18" spans="1:24">
      <c r="A18" s="367"/>
      <c r="B18" s="367"/>
      <c r="C18" s="367"/>
      <c r="D18" s="367"/>
      <c r="E18" s="367"/>
      <c r="F18" s="551" t="s">
        <v>404</v>
      </c>
      <c r="G18" s="551" t="str">
        <f>IFERROR(VLOOKUP(F18,ISCO_Prevodnik!$A$10:$B$21,2,0),"")</f>
        <v>IT_analytik</v>
      </c>
      <c r="H18" s="551"/>
      <c r="I18" s="551" t="str">
        <f>IFERROR(VLOOKUP(H18,ISCO_Prevodnik!$E$10:$F$31,2,0),"")</f>
        <v/>
      </c>
      <c r="J18" s="552"/>
      <c r="K18" s="484">
        <v>255</v>
      </c>
      <c r="L18" s="492">
        <f>IFERROR(VLOOKUP(F18,$Q$4:$S$27,2,0),0)</f>
        <v>750</v>
      </c>
      <c r="M18" s="486">
        <f t="shared" si="3"/>
        <v>191250</v>
      </c>
      <c r="O18" s="673"/>
      <c r="Q18" s="643" t="s">
        <v>430</v>
      </c>
      <c r="R18" s="554"/>
      <c r="S18" s="508" t="s">
        <v>457</v>
      </c>
      <c r="T18" s="434" t="s">
        <v>457</v>
      </c>
      <c r="U18" s="436">
        <f t="shared" si="2"/>
        <v>0</v>
      </c>
      <c r="V18" s="434" t="s">
        <v>457</v>
      </c>
      <c r="W18" s="434" t="s">
        <v>457</v>
      </c>
      <c r="X18" s="435"/>
    </row>
    <row r="19" spans="1:24">
      <c r="A19" s="367"/>
      <c r="B19" s="367"/>
      <c r="C19" s="367"/>
      <c r="D19" s="367"/>
      <c r="E19" s="367"/>
      <c r="F19" s="551" t="s">
        <v>410</v>
      </c>
      <c r="G19" s="551" t="str">
        <f>IFERROR(VLOOKUP(F19,ISCO_Prevodnik!$A$10:$B$21,2,0),"")</f>
        <v>IT_konzultant</v>
      </c>
      <c r="H19" s="551"/>
      <c r="I19" s="551" t="str">
        <f>IFERROR(VLOOKUP(H19,ISCO_Prevodnik!$E$10:$F$31,2,0),"")</f>
        <v/>
      </c>
      <c r="J19" s="552"/>
      <c r="K19" s="484">
        <v>555</v>
      </c>
      <c r="L19" s="492">
        <f>IFERROR(VLOOKUP(F19,$Q$4:$S$27,2,0),0)</f>
        <v>790</v>
      </c>
      <c r="M19" s="486">
        <f t="shared" si="3"/>
        <v>438450</v>
      </c>
      <c r="O19" s="673"/>
      <c r="Q19" s="643" t="s">
        <v>679</v>
      </c>
      <c r="R19" s="554"/>
      <c r="S19" s="508" t="s">
        <v>457</v>
      </c>
      <c r="T19" s="434" t="s">
        <v>457</v>
      </c>
      <c r="U19" s="436">
        <f t="shared" si="2"/>
        <v>0</v>
      </c>
      <c r="V19" s="434" t="s">
        <v>457</v>
      </c>
      <c r="W19" s="434" t="s">
        <v>457</v>
      </c>
      <c r="X19" s="435"/>
    </row>
    <row r="20" spans="1:24">
      <c r="A20" s="367"/>
      <c r="B20" s="367"/>
      <c r="C20" s="367"/>
      <c r="D20" s="367"/>
      <c r="E20" s="367"/>
      <c r="F20" s="551" t="s">
        <v>406</v>
      </c>
      <c r="G20" s="551" t="str">
        <f>IFERROR(VLOOKUP(F20,ISCO_Prevodnik!$A$10:$B$21,2,0),"")</f>
        <v>Bezpecnost</v>
      </c>
      <c r="H20" s="551"/>
      <c r="I20" s="551" t="str">
        <f>IFERROR(VLOOKUP(H20,ISCO_Prevodnik!$E$10:$F$31,2,0),"")</f>
        <v/>
      </c>
      <c r="J20" s="552"/>
      <c r="K20" s="484">
        <v>75</v>
      </c>
      <c r="L20" s="492">
        <f t="shared" si="4"/>
        <v>472</v>
      </c>
      <c r="M20" s="486">
        <f t="shared" si="3"/>
        <v>35400</v>
      </c>
      <c r="O20" s="673"/>
      <c r="Q20" s="643" t="s">
        <v>729</v>
      </c>
      <c r="R20" s="554"/>
      <c r="S20" s="508" t="s">
        <v>457</v>
      </c>
      <c r="T20" s="434" t="s">
        <v>457</v>
      </c>
      <c r="U20" s="436">
        <f t="shared" si="2"/>
        <v>0</v>
      </c>
      <c r="V20" s="434" t="s">
        <v>457</v>
      </c>
      <c r="W20" s="434" t="s">
        <v>457</v>
      </c>
      <c r="X20" s="435"/>
    </row>
    <row r="21" spans="1:24">
      <c r="A21" s="367"/>
      <c r="B21" s="367"/>
      <c r="C21" s="367"/>
      <c r="D21" s="367"/>
      <c r="E21" s="367"/>
      <c r="F21" s="551" t="s">
        <v>400</v>
      </c>
      <c r="G21" s="551" t="str">
        <f>IFERROR(VLOOKUP(F21,ISCO_Prevodnik!$A$10:$B$21,2,0),"")</f>
        <v>IT_architekt</v>
      </c>
      <c r="H21" s="551"/>
      <c r="I21" s="551" t="str">
        <f>IFERROR(VLOOKUP(H21,ISCO_Prevodnik!$E$10:$F$31,2,0),"")</f>
        <v/>
      </c>
      <c r="J21" s="552"/>
      <c r="K21" s="484">
        <v>75</v>
      </c>
      <c r="L21" s="492">
        <f t="shared" si="4"/>
        <v>525</v>
      </c>
      <c r="M21" s="486">
        <f t="shared" si="3"/>
        <v>39375</v>
      </c>
      <c r="O21" s="673"/>
      <c r="Q21" s="643" t="s">
        <v>730</v>
      </c>
      <c r="R21" s="554"/>
      <c r="S21" s="508" t="s">
        <v>457</v>
      </c>
      <c r="T21" s="434" t="s">
        <v>457</v>
      </c>
      <c r="U21" s="436">
        <f t="shared" si="2"/>
        <v>0</v>
      </c>
      <c r="V21" s="434" t="s">
        <v>457</v>
      </c>
      <c r="W21" s="434" t="s">
        <v>457</v>
      </c>
      <c r="X21" s="435"/>
    </row>
    <row r="22" spans="1:24">
      <c r="A22" s="367"/>
      <c r="B22" s="602"/>
      <c r="C22" s="602"/>
      <c r="D22" s="603"/>
      <c r="E22" s="604"/>
      <c r="F22" s="551" t="s">
        <v>411</v>
      </c>
      <c r="G22" s="551" t="str">
        <f>IFERROR(VLOOKUP(F22,ISCO_Prevodnik!$A$10:$B$21,2,0),"")</f>
        <v>Ine</v>
      </c>
      <c r="H22" s="551"/>
      <c r="I22" s="551" t="str">
        <f>IFERROR(VLOOKUP(H22,ISCO_Prevodnik!$E$10:$F$31,2,0),"")</f>
        <v/>
      </c>
      <c r="J22" s="552"/>
      <c r="K22" s="484">
        <v>280</v>
      </c>
      <c r="L22" s="492">
        <f>IFERROR(VLOOKUP(F22,$Q$4:$S$27,2,0),0)</f>
        <v>750</v>
      </c>
      <c r="M22" s="486">
        <f t="shared" si="3"/>
        <v>210000</v>
      </c>
      <c r="O22" s="673"/>
      <c r="Q22" s="626"/>
      <c r="R22" s="554"/>
      <c r="S22" s="508" t="s">
        <v>457</v>
      </c>
      <c r="T22" s="434" t="s">
        <v>457</v>
      </c>
      <c r="U22" s="436">
        <f t="shared" si="2"/>
        <v>0</v>
      </c>
      <c r="V22" s="434" t="s">
        <v>457</v>
      </c>
      <c r="W22" s="434" t="s">
        <v>457</v>
      </c>
      <c r="X22" s="435"/>
    </row>
    <row r="23" spans="1:24">
      <c r="A23" s="367"/>
      <c r="B23" s="367"/>
      <c r="C23" s="367"/>
      <c r="D23" s="367"/>
      <c r="E23" s="367"/>
      <c r="F23" s="551"/>
      <c r="G23" s="551" t="str">
        <f>IFERROR(VLOOKUP(F23,ISCO_Prevodnik!$A$10:$B$21,2,0),"")</f>
        <v/>
      </c>
      <c r="H23" s="551"/>
      <c r="I23" s="551" t="str">
        <f>IFERROR(VLOOKUP(H23,ISCO_Prevodnik!$E$10:$F$31,2,0),"")</f>
        <v/>
      </c>
      <c r="J23" s="552"/>
      <c r="K23" s="484">
        <v>0</v>
      </c>
      <c r="L23" s="492">
        <f t="shared" si="4"/>
        <v>0</v>
      </c>
      <c r="M23" s="486">
        <f t="shared" si="3"/>
        <v>0</v>
      </c>
      <c r="O23" s="673"/>
      <c r="Q23" s="626"/>
      <c r="R23" s="554"/>
      <c r="S23" s="508" t="s">
        <v>457</v>
      </c>
      <c r="T23" s="434" t="s">
        <v>457</v>
      </c>
      <c r="U23" s="436">
        <f t="shared" si="2"/>
        <v>0</v>
      </c>
      <c r="V23" s="434" t="s">
        <v>457</v>
      </c>
      <c r="W23" s="434" t="s">
        <v>457</v>
      </c>
      <c r="X23" s="435"/>
    </row>
    <row r="24" spans="1:24">
      <c r="A24" s="367"/>
      <c r="B24" s="367"/>
      <c r="C24" s="367"/>
      <c r="D24" s="367"/>
      <c r="E24" s="367"/>
      <c r="F24" s="551"/>
      <c r="G24" s="551" t="str">
        <f>IFERROR(VLOOKUP(F24,ISCO_Prevodnik!$A$10:$B$21,2,0),"")</f>
        <v/>
      </c>
      <c r="H24" s="551"/>
      <c r="I24" s="551" t="str">
        <f>IFERROR(VLOOKUP(H24,ISCO_Prevodnik!$E$10:$F$31,2,0),"")</f>
        <v/>
      </c>
      <c r="J24" s="552"/>
      <c r="K24" s="484">
        <v>0</v>
      </c>
      <c r="L24" s="492">
        <f t="shared" si="4"/>
        <v>0</v>
      </c>
      <c r="M24" s="486">
        <f t="shared" si="3"/>
        <v>0</v>
      </c>
      <c r="O24" s="673"/>
      <c r="Q24" s="626"/>
      <c r="R24" s="554"/>
      <c r="S24" s="508" t="s">
        <v>457</v>
      </c>
      <c r="T24" s="434" t="s">
        <v>457</v>
      </c>
      <c r="U24" s="436">
        <f t="shared" si="2"/>
        <v>0</v>
      </c>
      <c r="V24" s="434" t="s">
        <v>457</v>
      </c>
      <c r="W24" s="434" t="s">
        <v>457</v>
      </c>
      <c r="X24" s="435"/>
    </row>
    <row r="25" spans="1:24">
      <c r="A25" s="367"/>
      <c r="B25" s="367"/>
      <c r="C25" s="367"/>
      <c r="D25" s="367"/>
      <c r="E25" s="367"/>
      <c r="F25" s="551"/>
      <c r="G25" s="551" t="str">
        <f>IFERROR(VLOOKUP(F25,ISCO_Prevodnik!$A$10:$B$21,2,0),"")</f>
        <v/>
      </c>
      <c r="H25" s="551"/>
      <c r="I25" s="551" t="str">
        <f>IFERROR(VLOOKUP(H25,ISCO_Prevodnik!$E$10:$F$31,2,0),"")</f>
        <v/>
      </c>
      <c r="J25" s="552"/>
      <c r="K25" s="484">
        <v>0</v>
      </c>
      <c r="L25" s="492">
        <f t="shared" si="4"/>
        <v>0</v>
      </c>
      <c r="M25" s="486">
        <f t="shared" si="3"/>
        <v>0</v>
      </c>
      <c r="O25" s="673"/>
      <c r="Q25" s="626"/>
      <c r="R25" s="554"/>
      <c r="S25" s="508" t="s">
        <v>457</v>
      </c>
      <c r="T25" s="434" t="s">
        <v>457</v>
      </c>
      <c r="U25" s="436">
        <f t="shared" si="2"/>
        <v>0</v>
      </c>
      <c r="V25" s="434" t="s">
        <v>457</v>
      </c>
      <c r="W25" s="434" t="s">
        <v>457</v>
      </c>
      <c r="X25" s="435"/>
    </row>
    <row r="26" spans="1:24">
      <c r="A26" s="367"/>
      <c r="B26" s="367"/>
      <c r="C26" s="367"/>
      <c r="D26" s="367"/>
      <c r="E26" s="367"/>
      <c r="F26" s="551"/>
      <c r="G26" s="551" t="str">
        <f>IFERROR(VLOOKUP(F26,ISCO_Prevodnik!$A$10:$B$21,2,0),"")</f>
        <v/>
      </c>
      <c r="H26" s="551"/>
      <c r="I26" s="551" t="str">
        <f>IFERROR(VLOOKUP(H26,ISCO_Prevodnik!$E$10:$F$31,2,0),"")</f>
        <v/>
      </c>
      <c r="J26" s="552"/>
      <c r="K26" s="484">
        <v>0</v>
      </c>
      <c r="L26" s="492">
        <f t="shared" si="4"/>
        <v>0</v>
      </c>
      <c r="M26" s="486">
        <f t="shared" si="3"/>
        <v>0</v>
      </c>
      <c r="O26" s="673"/>
      <c r="Q26" s="626"/>
      <c r="R26" s="554"/>
      <c r="S26" s="508" t="s">
        <v>457</v>
      </c>
      <c r="T26" s="434" t="s">
        <v>457</v>
      </c>
      <c r="U26" s="436">
        <f t="shared" si="2"/>
        <v>0</v>
      </c>
      <c r="V26" s="434" t="s">
        <v>457</v>
      </c>
      <c r="W26" s="434" t="s">
        <v>457</v>
      </c>
      <c r="X26" s="435"/>
    </row>
    <row r="27" spans="1:24">
      <c r="A27" s="367"/>
      <c r="B27" s="367"/>
      <c r="C27" s="367"/>
      <c r="D27" s="367"/>
      <c r="E27" s="367"/>
      <c r="F27" s="551"/>
      <c r="G27" s="551" t="str">
        <f>IFERROR(VLOOKUP(F27,ISCO_Prevodnik!$A$10:$B$21,2,0),"")</f>
        <v/>
      </c>
      <c r="H27" s="551"/>
      <c r="I27" s="551" t="str">
        <f>IFERROR(VLOOKUP(H27,ISCO_Prevodnik!$E$10:$F$31,2,0),"")</f>
        <v/>
      </c>
      <c r="J27" s="552"/>
      <c r="K27" s="484">
        <v>0</v>
      </c>
      <c r="L27" s="492">
        <f t="shared" si="4"/>
        <v>0</v>
      </c>
      <c r="M27" s="486">
        <f t="shared" si="3"/>
        <v>0</v>
      </c>
      <c r="O27" s="673"/>
      <c r="Q27" s="626"/>
      <c r="R27" s="554"/>
      <c r="S27" s="508" t="s">
        <v>457</v>
      </c>
      <c r="T27" s="434" t="s">
        <v>457</v>
      </c>
      <c r="U27" s="436">
        <f t="shared" si="2"/>
        <v>0</v>
      </c>
      <c r="V27" s="434" t="s">
        <v>457</v>
      </c>
      <c r="W27" s="434" t="s">
        <v>457</v>
      </c>
      <c r="X27" s="435"/>
    </row>
    <row r="28" spans="1:24">
      <c r="A28" s="370" t="s">
        <v>263</v>
      </c>
      <c r="B28" s="553">
        <v>0.15</v>
      </c>
      <c r="C28" s="552">
        <f>SUM(K28:K39)/$K$1</f>
        <v>0.13323983169705469</v>
      </c>
      <c r="D28" s="484">
        <f>SUM(K28:K34)</f>
        <v>475</v>
      </c>
      <c r="E28" s="485">
        <f>IFERROR(SUM(M28:M39)/SUM(K28:K39),0)</f>
        <v>695.57894736842104</v>
      </c>
      <c r="F28" s="551" t="s">
        <v>403</v>
      </c>
      <c r="G28" s="551" t="str">
        <f>IFERROR(VLOOKUP(F28,ISCO_Prevodnik!$A$10:$B$21,2,0),"")</f>
        <v>Projektovy_manazer</v>
      </c>
      <c r="H28" s="551"/>
      <c r="I28" s="551" t="str">
        <f>IFERROR(VLOOKUP(H28,ISCO_Prevodnik!$E$10:$F$31,2,0),"")</f>
        <v/>
      </c>
      <c r="J28" s="552"/>
      <c r="K28" s="370">
        <v>30</v>
      </c>
      <c r="L28" s="492">
        <f t="shared" si="4"/>
        <v>539</v>
      </c>
      <c r="M28" s="486">
        <f t="shared" si="3"/>
        <v>16170</v>
      </c>
      <c r="O28" s="673"/>
    </row>
    <row r="29" spans="1:24">
      <c r="A29" s="367"/>
      <c r="B29" s="367"/>
      <c r="C29" s="367"/>
      <c r="D29" s="367"/>
      <c r="E29" s="367"/>
      <c r="F29" s="551" t="s">
        <v>407</v>
      </c>
      <c r="G29" s="551" t="str">
        <f>IFERROR(VLOOKUP(F29,ISCO_Prevodnik!$A$10:$B$21,2,0),"")</f>
        <v>Infrastrutkura</v>
      </c>
      <c r="H29" s="551"/>
      <c r="I29" s="551" t="str">
        <f>IFERROR(VLOOKUP(H29,ISCO_Prevodnik!$E$10:$F$31,2,0),"")</f>
        <v/>
      </c>
      <c r="J29" s="552"/>
      <c r="K29" s="370">
        <v>70</v>
      </c>
      <c r="L29" s="492">
        <f>IFERROR(VLOOKUP(F29,$Q$4:$S$27,2,0),0)</f>
        <v>750</v>
      </c>
      <c r="M29" s="486">
        <f t="shared" si="3"/>
        <v>52500</v>
      </c>
      <c r="O29" s="673"/>
    </row>
    <row r="30" spans="1:24">
      <c r="A30" s="367"/>
      <c r="B30" s="367"/>
      <c r="C30" s="367"/>
      <c r="D30" s="367"/>
      <c r="E30" s="367"/>
      <c r="F30" s="551" t="s">
        <v>404</v>
      </c>
      <c r="G30" s="551" t="str">
        <f>IFERROR(VLOOKUP(F30,ISCO_Prevodnik!$A$10:$B$21,2,0),"")</f>
        <v>IT_analytik</v>
      </c>
      <c r="H30" s="551"/>
      <c r="I30" s="551" t="str">
        <f>IFERROR(VLOOKUP(H30,ISCO_Prevodnik!$E$10:$F$31,2,0),"")</f>
        <v/>
      </c>
      <c r="J30" s="552"/>
      <c r="K30" s="370">
        <v>130</v>
      </c>
      <c r="L30" s="492">
        <f>IFERROR(VLOOKUP(F30,$Q$4:$S$27,2,0),0)</f>
        <v>750</v>
      </c>
      <c r="M30" s="486">
        <f t="shared" si="3"/>
        <v>97500</v>
      </c>
      <c r="O30" s="673"/>
    </row>
    <row r="31" spans="1:24">
      <c r="A31" s="367"/>
      <c r="B31" s="367"/>
      <c r="C31" s="367"/>
      <c r="D31" s="367"/>
      <c r="E31" s="367"/>
      <c r="F31" s="551" t="s">
        <v>410</v>
      </c>
      <c r="G31" s="551" t="str">
        <f>IFERROR(VLOOKUP(F31,ISCO_Prevodnik!$A$10:$B$21,2,0),"")</f>
        <v>IT_konzultant</v>
      </c>
      <c r="H31" s="551"/>
      <c r="I31" s="551" t="str">
        <f>IFERROR(VLOOKUP(H31,ISCO_Prevodnik!$E$10:$F$31,2,0),"")</f>
        <v/>
      </c>
      <c r="J31" s="552"/>
      <c r="K31" s="370">
        <v>15</v>
      </c>
      <c r="L31" s="492">
        <f>IFERROR(VLOOKUP(F31,$Q$4:$S$27,2,0),0)</f>
        <v>790</v>
      </c>
      <c r="M31" s="486">
        <f t="shared" si="3"/>
        <v>11850</v>
      </c>
      <c r="O31" s="673"/>
    </row>
    <row r="32" spans="1:24">
      <c r="A32" s="367"/>
      <c r="B32" s="367"/>
      <c r="C32" s="367"/>
      <c r="D32" s="367"/>
      <c r="E32" s="367"/>
      <c r="F32" s="551" t="s">
        <v>406</v>
      </c>
      <c r="G32" s="551" t="str">
        <f>IFERROR(VLOOKUP(F32,ISCO_Prevodnik!$A$10:$B$21,2,0),"")</f>
        <v>Bezpecnost</v>
      </c>
      <c r="H32" s="551"/>
      <c r="I32" s="551" t="str">
        <f>IFERROR(VLOOKUP(H32,ISCO_Prevodnik!$E$10:$F$31,2,0),"")</f>
        <v/>
      </c>
      <c r="J32" s="552"/>
      <c r="K32" s="370">
        <v>40</v>
      </c>
      <c r="L32" s="492">
        <f t="shared" si="4"/>
        <v>472</v>
      </c>
      <c r="M32" s="486">
        <f t="shared" si="3"/>
        <v>18880</v>
      </c>
      <c r="O32" s="673"/>
    </row>
    <row r="33" spans="1:15">
      <c r="A33" s="367"/>
      <c r="B33" s="367"/>
      <c r="C33" s="367"/>
      <c r="D33" s="367"/>
      <c r="E33" s="367"/>
      <c r="F33" s="551" t="s">
        <v>400</v>
      </c>
      <c r="G33" s="551" t="str">
        <f>IFERROR(VLOOKUP(F33,ISCO_Prevodnik!$A$10:$B$21,2,0),"")</f>
        <v>IT_architekt</v>
      </c>
      <c r="H33" s="551"/>
      <c r="I33" s="551" t="str">
        <f>IFERROR(VLOOKUP(H33,ISCO_Prevodnik!$E$10:$F$31,2,0),"")</f>
        <v/>
      </c>
      <c r="J33" s="552"/>
      <c r="K33" s="370">
        <v>40</v>
      </c>
      <c r="L33" s="492">
        <f t="shared" si="4"/>
        <v>525</v>
      </c>
      <c r="M33" s="486">
        <f t="shared" si="3"/>
        <v>21000</v>
      </c>
      <c r="O33" s="673"/>
    </row>
    <row r="34" spans="1:15">
      <c r="F34" s="551" t="s">
        <v>411</v>
      </c>
      <c r="G34" s="551" t="str">
        <f>IFERROR(VLOOKUP(F34,ISCO_Prevodnik!$A$10:$B$21,2,0),"")</f>
        <v>Ine</v>
      </c>
      <c r="H34" s="551"/>
      <c r="I34" s="551" t="str">
        <f>IFERROR(VLOOKUP(H34,ISCO_Prevodnik!$E$10:$F$31,2,0),"")</f>
        <v/>
      </c>
      <c r="J34" s="552"/>
      <c r="K34" s="370">
        <v>150</v>
      </c>
      <c r="L34" s="492">
        <f>IFERROR(VLOOKUP(F34,$Q$4:$S$27,2,0),0)</f>
        <v>750</v>
      </c>
      <c r="M34" s="486">
        <f t="shared" ref="M34:M46" si="6">K34*L34</f>
        <v>112500</v>
      </c>
      <c r="O34" s="673"/>
    </row>
    <row r="35" spans="1:15">
      <c r="F35" s="551"/>
      <c r="G35" s="551" t="str">
        <f>IFERROR(VLOOKUP(F35,ISCO_Prevodnik!$A$10:$B$21,2,0),"")</f>
        <v/>
      </c>
      <c r="H35" s="551"/>
      <c r="I35" s="551" t="str">
        <f>IFERROR(VLOOKUP(H35,ISCO_Prevodnik!$E$10:$F$31,2,0),"")</f>
        <v/>
      </c>
      <c r="J35" s="552"/>
      <c r="K35" s="484">
        <v>0</v>
      </c>
      <c r="L35" s="492">
        <f t="shared" ref="L35:L39" si="7">IFERROR(VLOOKUP(F35,$Q$4:$R$27,2,0),0)</f>
        <v>0</v>
      </c>
      <c r="M35" s="486">
        <f t="shared" si="6"/>
        <v>0</v>
      </c>
      <c r="O35" s="673"/>
    </row>
    <row r="36" spans="1:15">
      <c r="F36" s="551"/>
      <c r="G36" s="551" t="str">
        <f>IFERROR(VLOOKUP(F36,ISCO_Prevodnik!$A$10:$B$21,2,0),"")</f>
        <v/>
      </c>
      <c r="H36" s="551"/>
      <c r="I36" s="551" t="str">
        <f>IFERROR(VLOOKUP(H36,ISCO_Prevodnik!$E$10:$F$31,2,0),"")</f>
        <v/>
      </c>
      <c r="J36" s="552"/>
      <c r="K36" s="484">
        <v>0</v>
      </c>
      <c r="L36" s="492">
        <f t="shared" si="7"/>
        <v>0</v>
      </c>
      <c r="M36" s="486">
        <f t="shared" si="6"/>
        <v>0</v>
      </c>
      <c r="O36" s="673"/>
    </row>
    <row r="37" spans="1:15">
      <c r="F37" s="551"/>
      <c r="G37" s="551" t="str">
        <f>IFERROR(VLOOKUP(F37,ISCO_Prevodnik!$A$10:$B$21,2,0),"")</f>
        <v/>
      </c>
      <c r="H37" s="551"/>
      <c r="I37" s="551" t="str">
        <f>IFERROR(VLOOKUP(H37,ISCO_Prevodnik!$E$10:$F$31,2,0),"")</f>
        <v/>
      </c>
      <c r="J37" s="552"/>
      <c r="K37" s="484">
        <v>0</v>
      </c>
      <c r="L37" s="492">
        <f t="shared" si="7"/>
        <v>0</v>
      </c>
      <c r="M37" s="486">
        <f t="shared" si="6"/>
        <v>0</v>
      </c>
      <c r="O37" s="673"/>
    </row>
    <row r="38" spans="1:15">
      <c r="F38" s="551"/>
      <c r="G38" s="551" t="str">
        <f>IFERROR(VLOOKUP(F38,ISCO_Prevodnik!$A$10:$B$21,2,0),"")</f>
        <v/>
      </c>
      <c r="H38" s="551"/>
      <c r="I38" s="551" t="str">
        <f>IFERROR(VLOOKUP(H38,ISCO_Prevodnik!$E$10:$F$31,2,0),"")</f>
        <v/>
      </c>
      <c r="J38" s="552"/>
      <c r="K38" s="484">
        <v>0</v>
      </c>
      <c r="L38" s="492">
        <f t="shared" si="7"/>
        <v>0</v>
      </c>
      <c r="M38" s="486">
        <f t="shared" si="6"/>
        <v>0</v>
      </c>
      <c r="O38" s="673"/>
    </row>
    <row r="39" spans="1:15">
      <c r="F39" s="551"/>
      <c r="G39" s="551" t="str">
        <f>IFERROR(VLOOKUP(F39,ISCO_Prevodnik!$A$10:$B$21,2,0),"")</f>
        <v/>
      </c>
      <c r="H39" s="551"/>
      <c r="I39" s="551" t="str">
        <f>IFERROR(VLOOKUP(H39,ISCO_Prevodnik!$E$10:$F$31,2,0),"")</f>
        <v/>
      </c>
      <c r="J39" s="552"/>
      <c r="K39" s="484">
        <v>0</v>
      </c>
      <c r="L39" s="492">
        <f t="shared" si="7"/>
        <v>0</v>
      </c>
      <c r="M39" s="486">
        <f t="shared" si="6"/>
        <v>0</v>
      </c>
      <c r="O39" s="673"/>
    </row>
    <row r="40" spans="1:15" ht="45">
      <c r="A40" s="480" t="s">
        <v>264</v>
      </c>
      <c r="B40" s="480" t="s">
        <v>432</v>
      </c>
      <c r="C40" s="480"/>
      <c r="D40" s="480" t="s">
        <v>266</v>
      </c>
      <c r="E40" s="480" t="s">
        <v>417</v>
      </c>
      <c r="F40" s="480" t="s">
        <v>399</v>
      </c>
      <c r="G40" s="480"/>
      <c r="H40" s="480" t="s">
        <v>701</v>
      </c>
      <c r="I40" s="480" t="s">
        <v>702</v>
      </c>
      <c r="J40" s="480" t="s">
        <v>674</v>
      </c>
      <c r="K40" s="480" t="s">
        <v>414</v>
      </c>
      <c r="L40" s="480" t="s">
        <v>731</v>
      </c>
      <c r="M40" s="480" t="s">
        <v>416</v>
      </c>
    </row>
    <row r="41" spans="1:15">
      <c r="A41" s="370" t="s">
        <v>672</v>
      </c>
      <c r="B41" s="555"/>
      <c r="C41" s="555"/>
      <c r="D41" s="484">
        <f>SUM(K41:K52)</f>
        <v>0</v>
      </c>
      <c r="E41" s="485">
        <f>IFERROR(SUM(M41:M52)/SUM(K41:K52),0)</f>
        <v>0</v>
      </c>
      <c r="F41" s="551"/>
      <c r="G41" s="551"/>
      <c r="H41" s="551"/>
      <c r="I41" s="551"/>
      <c r="J41" s="625"/>
      <c r="K41" s="484">
        <f>J41*$B$41*20</f>
        <v>0</v>
      </c>
      <c r="L41" s="492">
        <f>IFERROR(VLOOKUP(F41,$Q$4:$R$30,2,0),0)</f>
        <v>0</v>
      </c>
      <c r="M41" s="486">
        <f t="shared" si="6"/>
        <v>0</v>
      </c>
    </row>
    <row r="42" spans="1:15">
      <c r="A42" s="367"/>
      <c r="B42" s="367"/>
      <c r="C42" s="367"/>
      <c r="D42" s="367"/>
      <c r="E42" s="367"/>
      <c r="F42" s="551"/>
      <c r="G42" s="551"/>
      <c r="H42" s="551"/>
      <c r="I42" s="551"/>
      <c r="J42" s="625"/>
      <c r="K42" s="484">
        <f t="shared" ref="K42:K52" si="8">J42*$B$41*20</f>
        <v>0</v>
      </c>
      <c r="L42" s="492">
        <f t="shared" ref="L42:L52" si="9">IFERROR(VLOOKUP(F42,$Q$4:$R$30,2,0),0)</f>
        <v>0</v>
      </c>
      <c r="M42" s="486">
        <f t="shared" si="6"/>
        <v>0</v>
      </c>
    </row>
    <row r="43" spans="1:15">
      <c r="A43" s="367"/>
      <c r="B43" s="367"/>
      <c r="C43" s="367"/>
      <c r="D43" s="367"/>
      <c r="E43" s="367"/>
      <c r="F43" s="551"/>
      <c r="G43" s="551" t="str">
        <f>IFERROR(VLOOKUP(F43,ISCO_Prevodnik!$A$10:$B$21,2,0),"")</f>
        <v/>
      </c>
      <c r="H43" s="551"/>
      <c r="I43" s="551" t="str">
        <f>IFERROR(VLOOKUP(H43,ISCO_Prevodnik!$E$10:$F$31,2,0),"")</f>
        <v/>
      </c>
      <c r="J43" s="625"/>
      <c r="K43" s="484">
        <f t="shared" si="8"/>
        <v>0</v>
      </c>
      <c r="L43" s="492">
        <f t="shared" si="9"/>
        <v>0</v>
      </c>
      <c r="M43" s="486">
        <f t="shared" si="6"/>
        <v>0</v>
      </c>
    </row>
    <row r="44" spans="1:15">
      <c r="A44" s="367"/>
      <c r="B44" s="367"/>
      <c r="C44" s="367"/>
      <c r="D44" s="367"/>
      <c r="E44" s="367"/>
      <c r="F44" s="551"/>
      <c r="G44" s="551" t="str">
        <f>IFERROR(VLOOKUP(F44,ISCO_Prevodnik!$A$10:$B$21,2,0),"")</f>
        <v/>
      </c>
      <c r="H44" s="551"/>
      <c r="I44" s="551" t="str">
        <f>IFERROR(VLOOKUP(H44,ISCO_Prevodnik!$E$10:$F$31,2,0),"")</f>
        <v/>
      </c>
      <c r="J44" s="625"/>
      <c r="K44" s="484">
        <f t="shared" si="8"/>
        <v>0</v>
      </c>
      <c r="L44" s="492">
        <f t="shared" si="9"/>
        <v>0</v>
      </c>
      <c r="M44" s="486">
        <f t="shared" si="6"/>
        <v>0</v>
      </c>
    </row>
    <row r="45" spans="1:15">
      <c r="A45" s="367"/>
      <c r="B45" s="367"/>
      <c r="C45" s="367"/>
      <c r="D45" s="367"/>
      <c r="E45" s="367"/>
      <c r="F45" s="551"/>
      <c r="G45" s="551" t="str">
        <f>IFERROR(VLOOKUP(F45,ISCO_Prevodnik!$A$10:$B$21,2,0),"")</f>
        <v/>
      </c>
      <c r="H45" s="551"/>
      <c r="I45" s="551" t="str">
        <f>IFERROR(VLOOKUP(H45,ISCO_Prevodnik!$E$10:$F$31,2,0),"")</f>
        <v/>
      </c>
      <c r="J45" s="625"/>
      <c r="K45" s="484">
        <f t="shared" si="8"/>
        <v>0</v>
      </c>
      <c r="L45" s="492">
        <f t="shared" si="9"/>
        <v>0</v>
      </c>
      <c r="M45" s="486">
        <f t="shared" si="6"/>
        <v>0</v>
      </c>
    </row>
    <row r="46" spans="1:15">
      <c r="A46" s="367"/>
      <c r="B46" s="367"/>
      <c r="C46" s="367"/>
      <c r="D46" s="367"/>
      <c r="E46" s="367"/>
      <c r="F46" s="551"/>
      <c r="G46" s="551" t="str">
        <f>IFERROR(VLOOKUP(F46,ISCO_Prevodnik!$A$10:$B$21,2,0),"")</f>
        <v/>
      </c>
      <c r="H46" s="551"/>
      <c r="I46" s="551" t="str">
        <f>IFERROR(VLOOKUP(H46,ISCO_Prevodnik!$E$10:$F$31,2,0),"")</f>
        <v/>
      </c>
      <c r="J46" s="625"/>
      <c r="K46" s="484">
        <f t="shared" si="8"/>
        <v>0</v>
      </c>
      <c r="L46" s="492">
        <f t="shared" si="9"/>
        <v>0</v>
      </c>
      <c r="M46" s="486">
        <f t="shared" si="6"/>
        <v>0</v>
      </c>
    </row>
    <row r="47" spans="1:15">
      <c r="F47" s="551"/>
      <c r="G47" s="551" t="str">
        <f>IFERROR(VLOOKUP(F47,ISCO_Prevodnik!$A$10:$B$21,2,0),"")</f>
        <v/>
      </c>
      <c r="H47" s="551"/>
      <c r="I47" s="551" t="str">
        <f>IFERROR(VLOOKUP(H47,ISCO_Prevodnik!$E$10:$F$31,2,0),"")</f>
        <v/>
      </c>
      <c r="J47" s="625"/>
      <c r="K47" s="484">
        <f t="shared" si="8"/>
        <v>0</v>
      </c>
      <c r="L47" s="492">
        <f t="shared" si="9"/>
        <v>0</v>
      </c>
      <c r="M47" s="486">
        <f t="shared" ref="M47:M58" si="10">K47*L47</f>
        <v>0</v>
      </c>
    </row>
    <row r="48" spans="1:15">
      <c r="F48" s="551"/>
      <c r="G48" s="551" t="str">
        <f>IFERROR(VLOOKUP(F48,ISCO_Prevodnik!$A$10:$B$21,2,0),"")</f>
        <v/>
      </c>
      <c r="H48" s="551"/>
      <c r="I48" s="551" t="str">
        <f>IFERROR(VLOOKUP(H48,ISCO_Prevodnik!$E$10:$F$31,2,0),"")</f>
        <v/>
      </c>
      <c r="J48" s="625"/>
      <c r="K48" s="484">
        <f t="shared" si="8"/>
        <v>0</v>
      </c>
      <c r="L48" s="492">
        <f t="shared" si="9"/>
        <v>0</v>
      </c>
      <c r="M48" s="486">
        <f t="shared" si="10"/>
        <v>0</v>
      </c>
    </row>
    <row r="49" spans="1:13">
      <c r="F49" s="551"/>
      <c r="G49" s="551" t="str">
        <f>IFERROR(VLOOKUP(F49,ISCO_Prevodnik!$A$10:$B$21,2,0),"")</f>
        <v/>
      </c>
      <c r="H49" s="551"/>
      <c r="I49" s="551" t="str">
        <f>IFERROR(VLOOKUP(H49,ISCO_Prevodnik!$E$10:$F$31,2,0),"")</f>
        <v/>
      </c>
      <c r="J49" s="625"/>
      <c r="K49" s="484">
        <f t="shared" si="8"/>
        <v>0</v>
      </c>
      <c r="L49" s="492">
        <f t="shared" si="9"/>
        <v>0</v>
      </c>
      <c r="M49" s="486">
        <f t="shared" si="10"/>
        <v>0</v>
      </c>
    </row>
    <row r="50" spans="1:13">
      <c r="F50" s="551"/>
      <c r="G50" s="551" t="str">
        <f>IFERROR(VLOOKUP(F50,ISCO_Prevodnik!$A$10:$B$21,2,0),"")</f>
        <v/>
      </c>
      <c r="H50" s="551"/>
      <c r="I50" s="551" t="str">
        <f>IFERROR(VLOOKUP(H50,ISCO_Prevodnik!$E$10:$F$31,2,0),"")</f>
        <v/>
      </c>
      <c r="J50" s="625"/>
      <c r="K50" s="484">
        <f t="shared" si="8"/>
        <v>0</v>
      </c>
      <c r="L50" s="492">
        <f t="shared" si="9"/>
        <v>0</v>
      </c>
      <c r="M50" s="486">
        <f t="shared" si="10"/>
        <v>0</v>
      </c>
    </row>
    <row r="51" spans="1:13">
      <c r="F51" s="551"/>
      <c r="G51" s="551" t="str">
        <f>IFERROR(VLOOKUP(F51,ISCO_Prevodnik!$A$10:$B$21,2,0),"")</f>
        <v/>
      </c>
      <c r="H51" s="551"/>
      <c r="I51" s="551" t="str">
        <f>IFERROR(VLOOKUP(H51,ISCO_Prevodnik!$E$10:$F$31,2,0),"")</f>
        <v/>
      </c>
      <c r="J51" s="625"/>
      <c r="K51" s="484">
        <f t="shared" si="8"/>
        <v>0</v>
      </c>
      <c r="L51" s="492">
        <f t="shared" si="9"/>
        <v>0</v>
      </c>
      <c r="M51" s="486">
        <f t="shared" si="10"/>
        <v>0</v>
      </c>
    </row>
    <row r="52" spans="1:13">
      <c r="F52" s="551"/>
      <c r="G52" s="551" t="str">
        <f>IFERROR(VLOOKUP(F52,ISCO_Prevodnik!$A$10:$B$21,2,0),"")</f>
        <v/>
      </c>
      <c r="H52" s="551"/>
      <c r="I52" s="551" t="str">
        <f>IFERROR(VLOOKUP(H52,ISCO_Prevodnik!$E$10:$F$31,2,0),"")</f>
        <v/>
      </c>
      <c r="J52" s="625"/>
      <c r="K52" s="484">
        <f t="shared" si="8"/>
        <v>0</v>
      </c>
      <c r="L52" s="492">
        <f t="shared" si="9"/>
        <v>0</v>
      </c>
      <c r="M52" s="486">
        <f t="shared" si="10"/>
        <v>0</v>
      </c>
    </row>
    <row r="53" spans="1:13">
      <c r="A53" s="370" t="s">
        <v>678</v>
      </c>
      <c r="B53" s="555"/>
      <c r="C53" s="555"/>
      <c r="D53" s="484">
        <f>SUM(K53:K64)</f>
        <v>0</v>
      </c>
      <c r="E53" s="485">
        <f>IFERROR(SUM(M53:M64)/SUM(K53:K64),0)</f>
        <v>0</v>
      </c>
      <c r="F53" s="551"/>
      <c r="G53" s="551" t="str">
        <f>IFERROR(VLOOKUP(F53,ISCO_Prevodnik!$A$10:$B$21,2,0),"")</f>
        <v/>
      </c>
      <c r="H53" s="551"/>
      <c r="I53" s="551" t="str">
        <f>IFERROR(VLOOKUP(H53,ISCO_Prevodnik!$E$10:$F$31,2,0),"")</f>
        <v/>
      </c>
      <c r="J53" s="625"/>
      <c r="K53" s="484">
        <f>J53*$B$41*20</f>
        <v>0</v>
      </c>
      <c r="L53" s="492">
        <f>IFERROR(VLOOKUP(F53,$Q$4:$R$30,2,0),0)</f>
        <v>0</v>
      </c>
      <c r="M53" s="486">
        <f t="shared" si="10"/>
        <v>0</v>
      </c>
    </row>
    <row r="54" spans="1:13">
      <c r="A54" s="367"/>
      <c r="B54" s="367"/>
      <c r="C54" s="367"/>
      <c r="D54" s="367"/>
      <c r="E54" s="367"/>
      <c r="F54" s="551"/>
      <c r="G54" s="551" t="str">
        <f>IFERROR(VLOOKUP(F54,ISCO_Prevodnik!$A$10:$B$21,2,0),"")</f>
        <v/>
      </c>
      <c r="H54" s="551"/>
      <c r="I54" s="551" t="str">
        <f>IFERROR(VLOOKUP(H54,ISCO_Prevodnik!$E$10:$F$31,2,0),"")</f>
        <v/>
      </c>
      <c r="J54" s="625"/>
      <c r="K54" s="484">
        <f t="shared" ref="K54:K64" si="11">J54*$B$41*20</f>
        <v>0</v>
      </c>
      <c r="L54" s="492">
        <f t="shared" ref="L54:L64" si="12">IFERROR(VLOOKUP(F54,$Q$4:$R$30,2,0),0)</f>
        <v>0</v>
      </c>
      <c r="M54" s="486">
        <f t="shared" si="10"/>
        <v>0</v>
      </c>
    </row>
    <row r="55" spans="1:13">
      <c r="A55" s="367"/>
      <c r="B55" s="367"/>
      <c r="C55" s="367"/>
      <c r="D55" s="367"/>
      <c r="E55" s="367"/>
      <c r="F55" s="551"/>
      <c r="G55" s="551" t="str">
        <f>IFERROR(VLOOKUP(F55,ISCO_Prevodnik!$A$10:$B$21,2,0),"")</f>
        <v/>
      </c>
      <c r="H55" s="551"/>
      <c r="I55" s="551" t="str">
        <f>IFERROR(VLOOKUP(H55,ISCO_Prevodnik!$E$10:$F$31,2,0),"")</f>
        <v/>
      </c>
      <c r="J55" s="625"/>
      <c r="K55" s="484">
        <f t="shared" si="11"/>
        <v>0</v>
      </c>
      <c r="L55" s="492">
        <f t="shared" si="12"/>
        <v>0</v>
      </c>
      <c r="M55" s="486">
        <f t="shared" si="10"/>
        <v>0</v>
      </c>
    </row>
    <row r="56" spans="1:13">
      <c r="A56" s="367"/>
      <c r="B56" s="367"/>
      <c r="C56" s="367"/>
      <c r="D56" s="367"/>
      <c r="E56" s="367"/>
      <c r="F56" s="551"/>
      <c r="G56" s="551" t="str">
        <f>IFERROR(VLOOKUP(F56,ISCO_Prevodnik!$A$10:$B$21,2,0),"")</f>
        <v/>
      </c>
      <c r="H56" s="551"/>
      <c r="I56" s="551" t="str">
        <f>IFERROR(VLOOKUP(H56,ISCO_Prevodnik!$E$10:$F$31,2,0),"")</f>
        <v/>
      </c>
      <c r="J56" s="625"/>
      <c r="K56" s="484">
        <f t="shared" si="11"/>
        <v>0</v>
      </c>
      <c r="L56" s="492">
        <f t="shared" si="12"/>
        <v>0</v>
      </c>
      <c r="M56" s="486">
        <f t="shared" si="10"/>
        <v>0</v>
      </c>
    </row>
    <row r="57" spans="1:13">
      <c r="A57" s="367"/>
      <c r="B57" s="367"/>
      <c r="C57" s="367"/>
      <c r="D57" s="367"/>
      <c r="E57" s="367"/>
      <c r="F57" s="551"/>
      <c r="G57" s="551" t="str">
        <f>IFERROR(VLOOKUP(F57,ISCO_Prevodnik!$A$10:$B$21,2,0),"")</f>
        <v/>
      </c>
      <c r="H57" s="551"/>
      <c r="I57" s="551" t="str">
        <f>IFERROR(VLOOKUP(H57,ISCO_Prevodnik!$E$10:$F$31,2,0),"")</f>
        <v/>
      </c>
      <c r="J57" s="625"/>
      <c r="K57" s="484">
        <f t="shared" si="11"/>
        <v>0</v>
      </c>
      <c r="L57" s="492">
        <f t="shared" si="12"/>
        <v>0</v>
      </c>
      <c r="M57" s="486">
        <f t="shared" si="10"/>
        <v>0</v>
      </c>
    </row>
    <row r="58" spans="1:13">
      <c r="A58" s="367"/>
      <c r="B58" s="367"/>
      <c r="C58" s="367"/>
      <c r="D58" s="367"/>
      <c r="E58" s="367"/>
      <c r="F58" s="551"/>
      <c r="G58" s="551" t="str">
        <f>IFERROR(VLOOKUP(F58,ISCO_Prevodnik!$A$10:$B$21,2,0),"")</f>
        <v/>
      </c>
      <c r="H58" s="551"/>
      <c r="I58" s="551" t="str">
        <f>IFERROR(VLOOKUP(H58,ISCO_Prevodnik!$E$10:$F$31,2,0),"")</f>
        <v/>
      </c>
      <c r="J58" s="625"/>
      <c r="K58" s="484">
        <f t="shared" si="11"/>
        <v>0</v>
      </c>
      <c r="L58" s="492">
        <f t="shared" si="12"/>
        <v>0</v>
      </c>
      <c r="M58" s="486">
        <f t="shared" si="10"/>
        <v>0</v>
      </c>
    </row>
    <row r="59" spans="1:13">
      <c r="F59" s="551"/>
      <c r="G59" s="551" t="str">
        <f>IFERROR(VLOOKUP(F59,ISCO_Prevodnik!$A$10:$B$21,2,0),"")</f>
        <v/>
      </c>
      <c r="H59" s="551"/>
      <c r="I59" s="551" t="str">
        <f>IFERROR(VLOOKUP(H59,ISCO_Prevodnik!$E$10:$F$31,2,0),"")</f>
        <v/>
      </c>
      <c r="J59" s="625"/>
      <c r="K59" s="484">
        <f t="shared" si="11"/>
        <v>0</v>
      </c>
      <c r="L59" s="492">
        <f t="shared" si="12"/>
        <v>0</v>
      </c>
      <c r="M59" s="486">
        <f t="shared" ref="M59:M64" si="13">K59*L59</f>
        <v>0</v>
      </c>
    </row>
    <row r="60" spans="1:13">
      <c r="F60" s="551"/>
      <c r="G60" s="551" t="str">
        <f>IFERROR(VLOOKUP(F60,ISCO_Prevodnik!$A$10:$B$21,2,0),"")</f>
        <v/>
      </c>
      <c r="H60" s="551"/>
      <c r="I60" s="551" t="str">
        <f>IFERROR(VLOOKUP(H60,ISCO_Prevodnik!$E$10:$F$31,2,0),"")</f>
        <v/>
      </c>
      <c r="J60" s="625"/>
      <c r="K60" s="484">
        <f t="shared" si="11"/>
        <v>0</v>
      </c>
      <c r="L60" s="492">
        <f t="shared" si="12"/>
        <v>0</v>
      </c>
      <c r="M60" s="486">
        <f t="shared" si="13"/>
        <v>0</v>
      </c>
    </row>
    <row r="61" spans="1:13">
      <c r="F61" s="551"/>
      <c r="G61" s="551" t="str">
        <f>IFERROR(VLOOKUP(F61,ISCO_Prevodnik!$A$10:$B$21,2,0),"")</f>
        <v/>
      </c>
      <c r="H61" s="551"/>
      <c r="I61" s="551" t="str">
        <f>IFERROR(VLOOKUP(H61,ISCO_Prevodnik!$E$10:$F$31,2,0),"")</f>
        <v/>
      </c>
      <c r="J61" s="625"/>
      <c r="K61" s="484">
        <f t="shared" si="11"/>
        <v>0</v>
      </c>
      <c r="L61" s="492">
        <f t="shared" si="12"/>
        <v>0</v>
      </c>
      <c r="M61" s="486">
        <f t="shared" si="13"/>
        <v>0</v>
      </c>
    </row>
    <row r="62" spans="1:13">
      <c r="F62" s="551"/>
      <c r="G62" s="551" t="str">
        <f>IFERROR(VLOOKUP(F62,ISCO_Prevodnik!$A$10:$B$21,2,0),"")</f>
        <v/>
      </c>
      <c r="H62" s="551"/>
      <c r="I62" s="551" t="str">
        <f>IFERROR(VLOOKUP(H62,ISCO_Prevodnik!$E$10:$F$31,2,0),"")</f>
        <v/>
      </c>
      <c r="J62" s="625"/>
      <c r="K62" s="484">
        <f t="shared" si="11"/>
        <v>0</v>
      </c>
      <c r="L62" s="492">
        <f t="shared" si="12"/>
        <v>0</v>
      </c>
      <c r="M62" s="486">
        <f t="shared" si="13"/>
        <v>0</v>
      </c>
    </row>
    <row r="63" spans="1:13">
      <c r="F63" s="551"/>
      <c r="G63" s="551" t="str">
        <f>IFERROR(VLOOKUP(F63,ISCO_Prevodnik!$A$10:$B$21,2,0),"")</f>
        <v/>
      </c>
      <c r="H63" s="551"/>
      <c r="I63" s="551" t="str">
        <f>IFERROR(VLOOKUP(H63,ISCO_Prevodnik!$E$10:$F$31,2,0),"")</f>
        <v/>
      </c>
      <c r="J63" s="625"/>
      <c r="K63" s="484">
        <f t="shared" si="11"/>
        <v>0</v>
      </c>
      <c r="L63" s="492">
        <f t="shared" si="12"/>
        <v>0</v>
      </c>
      <c r="M63" s="486">
        <f t="shared" si="13"/>
        <v>0</v>
      </c>
    </row>
    <row r="64" spans="1:13">
      <c r="F64" s="551"/>
      <c r="G64" s="551" t="str">
        <f>IFERROR(VLOOKUP(F64,ISCO_Prevodnik!$A$10:$B$21,2,0),"")</f>
        <v/>
      </c>
      <c r="H64" s="551"/>
      <c r="I64" s="551" t="str">
        <f>IFERROR(VLOOKUP(H64,ISCO_Prevodnik!$E$10:$F$31,2,0),"")</f>
        <v/>
      </c>
      <c r="J64" s="625"/>
      <c r="K64" s="484">
        <f t="shared" si="11"/>
        <v>0</v>
      </c>
      <c r="L64" s="492">
        <f t="shared" si="12"/>
        <v>0</v>
      </c>
      <c r="M64" s="486">
        <f t="shared" si="13"/>
        <v>0</v>
      </c>
    </row>
  </sheetData>
  <mergeCells count="2">
    <mergeCell ref="F1:J1"/>
    <mergeCell ref="F2:J2"/>
  </mergeCells>
  <phoneticPr fontId="58" type="noConversion"/>
  <conditionalFormatting sqref="B4:C4 B16:C16 B28:C28">
    <cfRule type="expression" dxfId="13" priority="15">
      <formula>SUM($B$4,$B$16,$B$28)&lt;&gt;1</formula>
    </cfRule>
  </conditionalFormatting>
  <conditionalFormatting sqref="J4:J15">
    <cfRule type="expression" dxfId="12" priority="18">
      <formula>SUM($J$4:$J$15)&lt;&gt;1</formula>
    </cfRule>
  </conditionalFormatting>
  <conditionalFormatting sqref="J16:J27">
    <cfRule type="expression" dxfId="11" priority="13">
      <formula>SUM($J$16:$J$27)&lt;&gt;1</formula>
    </cfRule>
  </conditionalFormatting>
  <conditionalFormatting sqref="J28:J39">
    <cfRule type="expression" dxfId="10" priority="11">
      <formula>SUM($J$28:$J$39)&lt;&gt;1</formula>
    </cfRule>
  </conditionalFormatting>
  <conditionalFormatting sqref="R4:R21">
    <cfRule type="expression" dxfId="9" priority="14">
      <formula>AND(ISNUMBER(S4),R4&gt;S4)</formula>
    </cfRule>
  </conditionalFormatting>
  <conditionalFormatting sqref="R16:R27">
    <cfRule type="expression" dxfId="8" priority="2">
      <formula>AND(ISNUMBER(S16),R16&gt;S16*1.2)</formula>
    </cfRule>
    <cfRule type="cellIs" dxfId="7" priority="39" operator="greaterThan">
      <formula>#REF!</formula>
    </cfRule>
  </conditionalFormatting>
  <conditionalFormatting sqref="W4:W27">
    <cfRule type="containsText" dxfId="6" priority="3" operator="containsText" text="OK">
      <formula>NOT(ISERROR(SEARCH("OK",W4)))</formula>
    </cfRule>
    <cfRule type="containsText" dxfId="5" priority="4" operator="containsText" text="NAD">
      <formula>NOT(ISERROR(SEARCH("NAD",W4)))</formula>
    </cfRule>
  </conditionalFormatting>
  <dataValidations disablePrompts="1" count="8">
    <dataValidation type="decimal" allowBlank="1" showInputMessage="1" showErrorMessage="1" sqref="B4:C4 C16 C28" xr:uid="{00000000-0002-0000-0F00-000000000000}">
      <formula1>0.1</formula1>
      <formula2>0.35</formula2>
    </dataValidation>
    <dataValidation type="decimal" allowBlank="1" showInputMessage="1" showErrorMessage="1" sqref="B16" xr:uid="{00000000-0002-0000-0F00-000001000000}">
      <formula1>0.3</formula1>
      <formula2>0.8</formula2>
    </dataValidation>
    <dataValidation type="decimal" allowBlank="1" showInputMessage="1" showErrorMessage="1" sqref="B22:C22" xr:uid="{00000000-0002-0000-0F00-000002000000}">
      <formula1>0.1</formula1>
      <formula2>0.25</formula2>
    </dataValidation>
    <dataValidation type="decimal" allowBlank="1" showInputMessage="1" showErrorMessage="1" sqref="B28" xr:uid="{00000000-0002-0000-0F00-000003000000}">
      <formula1>0.15</formula1>
      <formula2>0.3</formula2>
    </dataValidation>
    <dataValidation type="list" allowBlank="1" showInputMessage="1" showErrorMessage="1" sqref="F4:F39" xr:uid="{00000000-0002-0000-0F00-000004000000}">
      <formula1>Pozicia</formula1>
    </dataValidation>
    <dataValidation operator="lessThanOrEqual" allowBlank="1" showInputMessage="1" showErrorMessage="1" sqref="S4:S15" xr:uid="{00000000-0002-0000-0F00-000005000000}"/>
    <dataValidation type="list" allowBlank="1" showInputMessage="1" showErrorMessage="1" sqref="F41:F64" xr:uid="{00000000-0002-0000-0F00-000006000000}">
      <formula1>PozicieKomplet</formula1>
    </dataValidation>
    <dataValidation type="list" allowBlank="1" showInputMessage="1" showErrorMessage="1" sqref="H4:H39 H41:H64" xr:uid="{00000000-0002-0000-0F00-000007000000}">
      <formula1>INDIRECT($G4)</formula1>
    </dataValidation>
  </dataValidations>
  <pageMargins left="0.7" right="0.7" top="0.75" bottom="0.75" header="0.3" footer="0.3"/>
  <pageSetup paperSize="9" orientation="portrait" horizontalDpi="4294967293"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árok30">
    <tabColor rgb="FF00B050"/>
  </sheetPr>
  <dimension ref="A1:W64"/>
  <sheetViews>
    <sheetView topLeftCell="C1" zoomScaleNormal="100" workbookViewId="0">
      <pane ySplit="3" topLeftCell="A4" activePane="bottomLeft" state="frozen"/>
      <selection activeCell="J3" sqref="J3:J11"/>
      <selection pane="bottomLeft" activeCell="W5" sqref="W5"/>
    </sheetView>
  </sheetViews>
  <sheetFormatPr defaultColWidth="8.7109375" defaultRowHeight="15"/>
  <cols>
    <col min="1" max="1" width="31.42578125" style="365" customWidth="1"/>
    <col min="2" max="3" width="10.7109375" style="365" customWidth="1"/>
    <col min="4" max="4" width="14.7109375" style="365" customWidth="1"/>
    <col min="5" max="5" width="34.7109375" style="365" bestFit="1" customWidth="1"/>
    <col min="6" max="6" width="9.28515625" style="365" bestFit="1" customWidth="1"/>
    <col min="7" max="7" width="15.28515625" style="365" bestFit="1" customWidth="1"/>
    <col min="8" max="8" width="10" style="365" customWidth="1"/>
    <col min="9" max="9" width="13.28515625" style="365" customWidth="1"/>
    <col min="10" max="10" width="12.7109375" style="365" customWidth="1"/>
    <col min="11" max="11" width="9.28515625" style="365" bestFit="1" customWidth="1"/>
    <col min="12" max="12" width="8.7109375" style="365"/>
    <col min="13" max="13" width="43.140625" style="365" customWidth="1"/>
    <col min="14" max="14" width="11.28515625" style="365" customWidth="1"/>
    <col min="15" max="15" width="11.7109375" style="365" customWidth="1"/>
    <col min="16" max="16" width="13.42578125" style="365" customWidth="1"/>
    <col min="17" max="17" width="14.140625" style="365" customWidth="1"/>
    <col min="18" max="22" width="13.42578125" style="365" customWidth="1"/>
    <col min="23" max="23" width="20.140625" style="365" customWidth="1"/>
    <col min="24" max="16384" width="8.7109375" style="365"/>
  </cols>
  <sheetData>
    <row r="1" spans="1:23" ht="30">
      <c r="A1" s="674"/>
      <c r="B1" s="505"/>
      <c r="C1" s="505"/>
      <c r="E1" s="806" t="s">
        <v>734</v>
      </c>
      <c r="F1" s="806"/>
      <c r="G1" s="627">
        <f>IFERROR(I1/AKTIVITY_POZICIE!M1/1.2,0)</f>
        <v>0.15295882837873251</v>
      </c>
      <c r="I1" s="444">
        <f>SUM(I4:I39)</f>
        <v>461074.50349999993</v>
      </c>
      <c r="P1" s="636" t="s">
        <v>536</v>
      </c>
      <c r="Q1" s="638">
        <v>0.34949999999999998</v>
      </c>
      <c r="R1" s="600"/>
    </row>
    <row r="2" spans="1:23" ht="30">
      <c r="A2" s="509"/>
      <c r="B2" s="505"/>
      <c r="C2" s="505"/>
      <c r="E2" s="807" t="s">
        <v>534</v>
      </c>
      <c r="F2" s="807"/>
      <c r="G2" s="442">
        <f>SUM(G4:G63)</f>
        <v>1589.62</v>
      </c>
      <c r="I2" s="444">
        <f>SUM(I4:I63)</f>
        <v>474178.50349999993</v>
      </c>
      <c r="P2" s="637" t="s">
        <v>733</v>
      </c>
      <c r="Q2" s="639">
        <v>0.2</v>
      </c>
      <c r="R2" s="600"/>
    </row>
    <row r="3" spans="1:23" s="481" customFormat="1" ht="60">
      <c r="A3" s="479" t="s">
        <v>261</v>
      </c>
      <c r="B3" s="480" t="s">
        <v>432</v>
      </c>
      <c r="C3" s="480" t="s">
        <v>266</v>
      </c>
      <c r="D3" s="480" t="s">
        <v>417</v>
      </c>
      <c r="E3" s="480" t="s">
        <v>399</v>
      </c>
      <c r="F3" s="480" t="s">
        <v>673</v>
      </c>
      <c r="G3" s="480" t="s">
        <v>266</v>
      </c>
      <c r="H3" s="480" t="s">
        <v>537</v>
      </c>
      <c r="I3" s="480" t="s">
        <v>735</v>
      </c>
      <c r="M3" s="503" t="s">
        <v>770</v>
      </c>
      <c r="N3" s="503" t="s">
        <v>743</v>
      </c>
      <c r="O3" s="478" t="s">
        <v>429</v>
      </c>
      <c r="P3" s="478" t="s">
        <v>535</v>
      </c>
      <c r="Q3" s="478" t="s">
        <v>540</v>
      </c>
      <c r="R3" s="478" t="s">
        <v>538</v>
      </c>
      <c r="S3" s="502" t="s">
        <v>433</v>
      </c>
      <c r="T3" s="478" t="s">
        <v>442</v>
      </c>
      <c r="U3" s="502" t="s">
        <v>539</v>
      </c>
      <c r="V3" s="502" t="s">
        <v>419</v>
      </c>
      <c r="W3" s="478" t="s">
        <v>412</v>
      </c>
    </row>
    <row r="4" spans="1:23">
      <c r="A4" s="370" t="s">
        <v>262</v>
      </c>
      <c r="B4" s="555">
        <v>14</v>
      </c>
      <c r="C4" s="484">
        <f>SUM(G4:G15)</f>
        <v>650</v>
      </c>
      <c r="D4" s="485">
        <f>IFERROR(SUM(I4:I15)/C4,0)</f>
        <v>304</v>
      </c>
      <c r="E4" s="551" t="s">
        <v>781</v>
      </c>
      <c r="F4" s="552"/>
      <c r="G4" s="484">
        <v>89</v>
      </c>
      <c r="H4" s="492">
        <v>304</v>
      </c>
      <c r="I4" s="486">
        <f>G4*H4</f>
        <v>27056</v>
      </c>
      <c r="J4" s="509"/>
      <c r="M4" s="433" t="s">
        <v>424</v>
      </c>
      <c r="N4" s="433" t="s">
        <v>532</v>
      </c>
      <c r="O4" s="556"/>
      <c r="P4" s="598"/>
      <c r="Q4" s="601">
        <f>P4*(1+$Q$2)*$Q$1</f>
        <v>0</v>
      </c>
      <c r="R4" s="601">
        <f>ROUND(P4+Q4+$Q$2*P4,2)</f>
        <v>0</v>
      </c>
      <c r="S4" s="433">
        <f>SUMIF($E$4:$E$63,M4,$G$4:$G$63)*8</f>
        <v>1736</v>
      </c>
      <c r="T4" s="508">
        <f>SUMIF($E$4:$E$63,M4,$I$4:$I$63)</f>
        <v>65925.425000000003</v>
      </c>
      <c r="U4" s="504">
        <f>IF(N4="hlavná",25,15)</f>
        <v>25</v>
      </c>
      <c r="V4" s="434">
        <f>IFERROR(S4/SUM($S$4:$S$27),)</f>
        <v>0.13651061259923755</v>
      </c>
      <c r="W4" s="435"/>
    </row>
    <row r="5" spans="1:23">
      <c r="A5" s="367"/>
      <c r="B5" s="367"/>
      <c r="C5" s="367"/>
      <c r="D5" s="367"/>
      <c r="E5" s="551" t="s">
        <v>740</v>
      </c>
      <c r="F5" s="552"/>
      <c r="G5" s="484">
        <f>87+175</f>
        <v>262</v>
      </c>
      <c r="H5" s="492">
        <v>304</v>
      </c>
      <c r="I5" s="486">
        <f>G5*H5</f>
        <v>79648</v>
      </c>
      <c r="J5" s="509"/>
      <c r="K5" s="509"/>
      <c r="M5" s="433" t="s">
        <v>740</v>
      </c>
      <c r="N5" s="433" t="s">
        <v>532</v>
      </c>
      <c r="O5" s="556"/>
      <c r="P5" s="599"/>
      <c r="Q5" s="601">
        <f t="shared" ref="Q5:Q27" si="0">P5*(1+$Q$2)*$Q$1</f>
        <v>0</v>
      </c>
      <c r="R5" s="601">
        <f t="shared" ref="R5:R27" si="1">ROUND(P5+Q5+$Q$2*P5,2)</f>
        <v>0</v>
      </c>
      <c r="S5" s="433">
        <f t="shared" ref="S5:S27" si="2">SUMIF($E$4:$E$63,M5,$G$4:$G$63)*8</f>
        <v>6288</v>
      </c>
      <c r="T5" s="508">
        <f t="shared" ref="T5:T27" si="3">SUMIF($E$4:$E$63,M5,$I$4:$I$63)</f>
        <v>238773.7</v>
      </c>
      <c r="U5" s="504">
        <f t="shared" ref="U5:U25" si="4">IF(N5="hlavná",25,15)</f>
        <v>25</v>
      </c>
      <c r="V5" s="434">
        <f t="shared" ref="V5:V27" si="5">IFERROR(S5/SUM($S$4:$S$27),)</f>
        <v>0.49445779494470382</v>
      </c>
      <c r="W5" s="435" t="s">
        <v>807</v>
      </c>
    </row>
    <row r="6" spans="1:23">
      <c r="A6" s="367"/>
      <c r="B6" s="367"/>
      <c r="C6" s="367"/>
      <c r="D6" s="367"/>
      <c r="E6" s="551" t="s">
        <v>738</v>
      </c>
      <c r="F6" s="552"/>
      <c r="G6" s="484">
        <v>176</v>
      </c>
      <c r="H6" s="492">
        <v>304</v>
      </c>
      <c r="I6" s="486">
        <f t="shared" ref="I6:I33" si="6">G6*H6</f>
        <v>53504</v>
      </c>
      <c r="M6" s="433" t="s">
        <v>738</v>
      </c>
      <c r="N6" s="433" t="s">
        <v>532</v>
      </c>
      <c r="O6" s="556"/>
      <c r="P6" s="599"/>
      <c r="Q6" s="601">
        <f t="shared" si="0"/>
        <v>0</v>
      </c>
      <c r="R6" s="601">
        <f t="shared" si="1"/>
        <v>0</v>
      </c>
      <c r="S6" s="433">
        <f t="shared" si="2"/>
        <v>1928</v>
      </c>
      <c r="T6" s="508">
        <f t="shared" si="3"/>
        <v>73242.875</v>
      </c>
      <c r="U6" s="504">
        <f t="shared" si="4"/>
        <v>25</v>
      </c>
      <c r="V6" s="434">
        <f t="shared" si="5"/>
        <v>0.15160856053648042</v>
      </c>
      <c r="W6" s="435"/>
    </row>
    <row r="7" spans="1:23">
      <c r="A7" s="367"/>
      <c r="B7" s="367"/>
      <c r="C7" s="367"/>
      <c r="D7" s="367"/>
      <c r="E7" s="551" t="s">
        <v>424</v>
      </c>
      <c r="F7" s="552"/>
      <c r="G7" s="484">
        <v>86</v>
      </c>
      <c r="H7" s="492">
        <v>304</v>
      </c>
      <c r="I7" s="486">
        <f t="shared" si="6"/>
        <v>26144</v>
      </c>
      <c r="M7" s="433" t="s">
        <v>425</v>
      </c>
      <c r="N7" s="433" t="s">
        <v>532</v>
      </c>
      <c r="O7" s="556"/>
      <c r="P7" s="599"/>
      <c r="Q7" s="601">
        <f t="shared" si="0"/>
        <v>0</v>
      </c>
      <c r="R7" s="601">
        <f t="shared" si="1"/>
        <v>0</v>
      </c>
      <c r="S7" s="433">
        <f t="shared" si="2"/>
        <v>0</v>
      </c>
      <c r="T7" s="508">
        <f t="shared" si="3"/>
        <v>0</v>
      </c>
      <c r="U7" s="504">
        <f t="shared" si="4"/>
        <v>25</v>
      </c>
      <c r="V7" s="434">
        <f t="shared" si="5"/>
        <v>0</v>
      </c>
      <c r="W7" s="435"/>
    </row>
    <row r="8" spans="1:23">
      <c r="A8" s="367"/>
      <c r="B8" s="367"/>
      <c r="C8" s="367"/>
      <c r="D8" s="367"/>
      <c r="E8" s="551" t="s">
        <v>782</v>
      </c>
      <c r="F8" s="552"/>
      <c r="G8" s="484">
        <v>37</v>
      </c>
      <c r="H8" s="492">
        <v>304</v>
      </c>
      <c r="I8" s="486">
        <f t="shared" si="6"/>
        <v>11248</v>
      </c>
      <c r="M8" s="433" t="s">
        <v>426</v>
      </c>
      <c r="N8" s="433" t="s">
        <v>532</v>
      </c>
      <c r="O8" s="556"/>
      <c r="P8" s="599"/>
      <c r="Q8" s="601">
        <f t="shared" si="0"/>
        <v>0</v>
      </c>
      <c r="R8" s="601">
        <f t="shared" si="1"/>
        <v>0</v>
      </c>
      <c r="S8" s="433">
        <f t="shared" si="2"/>
        <v>0</v>
      </c>
      <c r="T8" s="508">
        <f t="shared" si="3"/>
        <v>0</v>
      </c>
      <c r="U8" s="504">
        <f t="shared" si="4"/>
        <v>25</v>
      </c>
      <c r="V8" s="434">
        <f t="shared" si="5"/>
        <v>0</v>
      </c>
      <c r="W8" s="435"/>
    </row>
    <row r="9" spans="1:23">
      <c r="A9" s="367"/>
      <c r="B9" s="367"/>
      <c r="C9" s="367"/>
      <c r="D9" s="367"/>
      <c r="E9" s="551"/>
      <c r="F9" s="552"/>
      <c r="G9" s="484">
        <f t="shared" ref="G9:G15" si="7">IFERROR(VLOOKUP(E9,$M$4:$O$27,3,0)*F9*$B$4*20,)</f>
        <v>0</v>
      </c>
      <c r="H9" s="492">
        <f t="shared" ref="H9:H62" si="8">IFERROR(VLOOKUP(E9,$M$4:$R$27,6,0),0)*8</f>
        <v>0</v>
      </c>
      <c r="I9" s="486">
        <f t="shared" ref="I9:I15" si="9">G9*H9</f>
        <v>0</v>
      </c>
      <c r="M9" s="433" t="s">
        <v>427</v>
      </c>
      <c r="N9" s="433" t="s">
        <v>532</v>
      </c>
      <c r="O9" s="556"/>
      <c r="P9" s="599"/>
      <c r="Q9" s="601">
        <f t="shared" si="0"/>
        <v>0</v>
      </c>
      <c r="R9" s="601">
        <f t="shared" si="1"/>
        <v>0</v>
      </c>
      <c r="S9" s="433">
        <f t="shared" si="2"/>
        <v>0</v>
      </c>
      <c r="T9" s="508">
        <f t="shared" si="3"/>
        <v>0</v>
      </c>
      <c r="U9" s="504">
        <f t="shared" si="4"/>
        <v>25</v>
      </c>
      <c r="V9" s="434">
        <f t="shared" si="5"/>
        <v>0</v>
      </c>
      <c r="W9" s="435"/>
    </row>
    <row r="10" spans="1:23">
      <c r="A10" s="367"/>
      <c r="B10" s="367"/>
      <c r="C10" s="367"/>
      <c r="D10" s="367"/>
      <c r="E10" s="551"/>
      <c r="F10" s="552"/>
      <c r="G10" s="484">
        <f t="shared" si="7"/>
        <v>0</v>
      </c>
      <c r="H10" s="492">
        <f t="shared" si="8"/>
        <v>0</v>
      </c>
      <c r="I10" s="486">
        <f t="shared" si="9"/>
        <v>0</v>
      </c>
      <c r="M10" s="433" t="s">
        <v>428</v>
      </c>
      <c r="N10" s="433" t="s">
        <v>532</v>
      </c>
      <c r="O10" s="556"/>
      <c r="P10" s="599"/>
      <c r="Q10" s="601">
        <f t="shared" si="0"/>
        <v>0</v>
      </c>
      <c r="R10" s="601">
        <f t="shared" si="1"/>
        <v>0</v>
      </c>
      <c r="S10" s="433">
        <f t="shared" si="2"/>
        <v>0</v>
      </c>
      <c r="T10" s="508">
        <f t="shared" si="3"/>
        <v>0</v>
      </c>
      <c r="U10" s="504">
        <f t="shared" si="4"/>
        <v>25</v>
      </c>
      <c r="V10" s="434">
        <f t="shared" si="5"/>
        <v>0</v>
      </c>
      <c r="W10" s="435"/>
    </row>
    <row r="11" spans="1:23">
      <c r="A11" s="367"/>
      <c r="B11" s="367"/>
      <c r="C11" s="367"/>
      <c r="D11" s="367"/>
      <c r="E11" s="551"/>
      <c r="F11" s="552"/>
      <c r="G11" s="484">
        <f t="shared" si="7"/>
        <v>0</v>
      </c>
      <c r="H11" s="492">
        <f t="shared" si="8"/>
        <v>0</v>
      </c>
      <c r="I11" s="486">
        <f t="shared" si="9"/>
        <v>0</v>
      </c>
      <c r="M11" s="433" t="s">
        <v>430</v>
      </c>
      <c r="N11" s="433" t="s">
        <v>533</v>
      </c>
      <c r="O11" s="556"/>
      <c r="P11" s="599"/>
      <c r="Q11" s="601">
        <f t="shared" si="0"/>
        <v>0</v>
      </c>
      <c r="R11" s="601">
        <f t="shared" si="1"/>
        <v>0</v>
      </c>
      <c r="S11" s="433">
        <f t="shared" si="2"/>
        <v>0</v>
      </c>
      <c r="T11" s="508">
        <f t="shared" si="3"/>
        <v>0</v>
      </c>
      <c r="U11" s="504">
        <f t="shared" si="4"/>
        <v>15</v>
      </c>
      <c r="V11" s="434">
        <f t="shared" si="5"/>
        <v>0</v>
      </c>
      <c r="W11" s="435"/>
    </row>
    <row r="12" spans="1:23">
      <c r="A12" s="367"/>
      <c r="B12" s="367"/>
      <c r="C12" s="367"/>
      <c r="D12" s="367"/>
      <c r="E12" s="551"/>
      <c r="F12" s="552"/>
      <c r="G12" s="484">
        <f t="shared" si="7"/>
        <v>0</v>
      </c>
      <c r="H12" s="492">
        <f t="shared" si="8"/>
        <v>0</v>
      </c>
      <c r="I12" s="486">
        <f t="shared" si="9"/>
        <v>0</v>
      </c>
      <c r="M12" s="433" t="s">
        <v>434</v>
      </c>
      <c r="N12" s="433" t="s">
        <v>532</v>
      </c>
      <c r="O12" s="556"/>
      <c r="P12" s="599"/>
      <c r="Q12" s="601">
        <f t="shared" si="0"/>
        <v>0</v>
      </c>
      <c r="R12" s="601">
        <f t="shared" si="1"/>
        <v>0</v>
      </c>
      <c r="S12" s="433">
        <f t="shared" si="2"/>
        <v>0</v>
      </c>
      <c r="T12" s="508">
        <f t="shared" si="3"/>
        <v>0</v>
      </c>
      <c r="U12" s="504">
        <f t="shared" si="4"/>
        <v>25</v>
      </c>
      <c r="V12" s="434">
        <f t="shared" si="5"/>
        <v>0</v>
      </c>
      <c r="W12" s="435"/>
    </row>
    <row r="13" spans="1:23">
      <c r="A13" s="367"/>
      <c r="B13" s="367"/>
      <c r="C13" s="367"/>
      <c r="D13" s="367"/>
      <c r="E13" s="551"/>
      <c r="F13" s="552"/>
      <c r="G13" s="484">
        <f t="shared" si="7"/>
        <v>0</v>
      </c>
      <c r="H13" s="492">
        <f t="shared" si="8"/>
        <v>0</v>
      </c>
      <c r="I13" s="486">
        <f t="shared" si="9"/>
        <v>0</v>
      </c>
      <c r="M13" s="433" t="s">
        <v>435</v>
      </c>
      <c r="N13" s="433" t="s">
        <v>532</v>
      </c>
      <c r="O13" s="556"/>
      <c r="P13" s="599"/>
      <c r="Q13" s="601">
        <f t="shared" si="0"/>
        <v>0</v>
      </c>
      <c r="R13" s="601">
        <f t="shared" si="1"/>
        <v>0</v>
      </c>
      <c r="S13" s="433">
        <f t="shared" si="2"/>
        <v>0</v>
      </c>
      <c r="T13" s="508">
        <f t="shared" si="3"/>
        <v>0</v>
      </c>
      <c r="U13" s="504">
        <f t="shared" si="4"/>
        <v>25</v>
      </c>
      <c r="V13" s="434">
        <f t="shared" si="5"/>
        <v>0</v>
      </c>
      <c r="W13" s="435"/>
    </row>
    <row r="14" spans="1:23">
      <c r="A14" s="367"/>
      <c r="B14" s="367"/>
      <c r="C14" s="367"/>
      <c r="D14" s="367"/>
      <c r="E14" s="551"/>
      <c r="F14" s="552"/>
      <c r="G14" s="484">
        <f t="shared" si="7"/>
        <v>0</v>
      </c>
      <c r="H14" s="492">
        <f t="shared" si="8"/>
        <v>0</v>
      </c>
      <c r="I14" s="486">
        <f t="shared" si="9"/>
        <v>0</v>
      </c>
      <c r="M14" s="433" t="s">
        <v>431</v>
      </c>
      <c r="N14" s="433" t="s">
        <v>533</v>
      </c>
      <c r="O14" s="556"/>
      <c r="P14" s="599"/>
      <c r="Q14" s="601">
        <f t="shared" si="0"/>
        <v>0</v>
      </c>
      <c r="R14" s="601">
        <f t="shared" si="1"/>
        <v>0</v>
      </c>
      <c r="S14" s="433">
        <f t="shared" si="2"/>
        <v>0</v>
      </c>
      <c r="T14" s="508">
        <f t="shared" si="3"/>
        <v>0</v>
      </c>
      <c r="U14" s="504">
        <f t="shared" si="4"/>
        <v>15</v>
      </c>
      <c r="V14" s="434">
        <f t="shared" si="5"/>
        <v>0</v>
      </c>
      <c r="W14" s="435"/>
    </row>
    <row r="15" spans="1:23">
      <c r="A15" s="367"/>
      <c r="B15" s="367"/>
      <c r="C15" s="367"/>
      <c r="D15" s="367"/>
      <c r="E15" s="551"/>
      <c r="F15" s="552"/>
      <c r="G15" s="484">
        <f t="shared" si="7"/>
        <v>0</v>
      </c>
      <c r="H15" s="492">
        <f t="shared" si="8"/>
        <v>0</v>
      </c>
      <c r="I15" s="486">
        <f t="shared" si="9"/>
        <v>0</v>
      </c>
      <c r="M15" s="433" t="s">
        <v>739</v>
      </c>
      <c r="N15" s="433" t="s">
        <v>532</v>
      </c>
      <c r="O15" s="556"/>
      <c r="P15" s="599"/>
      <c r="Q15" s="601">
        <f t="shared" si="0"/>
        <v>0</v>
      </c>
      <c r="R15" s="601">
        <f t="shared" si="1"/>
        <v>0</v>
      </c>
      <c r="S15" s="433">
        <f t="shared" si="2"/>
        <v>0</v>
      </c>
      <c r="T15" s="508">
        <f t="shared" si="3"/>
        <v>0</v>
      </c>
      <c r="U15" s="504">
        <f t="shared" si="4"/>
        <v>25</v>
      </c>
      <c r="V15" s="434">
        <f t="shared" si="5"/>
        <v>0</v>
      </c>
      <c r="W15" s="435"/>
    </row>
    <row r="16" spans="1:23">
      <c r="A16" s="370" t="s">
        <v>541</v>
      </c>
      <c r="B16" s="555">
        <v>14</v>
      </c>
      <c r="C16" s="484">
        <f>SUM(G16:G27)</f>
        <v>574</v>
      </c>
      <c r="D16" s="485">
        <f>IFERROR(SUM(I16:I27)/C16,0)</f>
        <v>303.67500000000001</v>
      </c>
      <c r="E16" s="551" t="s">
        <v>781</v>
      </c>
      <c r="F16" s="552"/>
      <c r="G16" s="484">
        <v>52</v>
      </c>
      <c r="H16" s="492">
        <v>303.67500000000001</v>
      </c>
      <c r="I16" s="486">
        <f t="shared" si="6"/>
        <v>15791.1</v>
      </c>
      <c r="M16" s="433" t="s">
        <v>436</v>
      </c>
      <c r="N16" s="433" t="s">
        <v>533</v>
      </c>
      <c r="O16" s="556"/>
      <c r="P16" s="599"/>
      <c r="Q16" s="601">
        <f t="shared" si="0"/>
        <v>0</v>
      </c>
      <c r="R16" s="601">
        <f t="shared" si="1"/>
        <v>0</v>
      </c>
      <c r="S16" s="433">
        <f t="shared" si="2"/>
        <v>0</v>
      </c>
      <c r="T16" s="508">
        <f t="shared" si="3"/>
        <v>0</v>
      </c>
      <c r="U16" s="504">
        <f t="shared" si="4"/>
        <v>15</v>
      </c>
      <c r="V16" s="434">
        <f t="shared" si="5"/>
        <v>0</v>
      </c>
      <c r="W16" s="435"/>
    </row>
    <row r="17" spans="1:23">
      <c r="A17" s="367"/>
      <c r="B17" s="367"/>
      <c r="C17" s="367"/>
      <c r="D17" s="367"/>
      <c r="E17" s="551" t="s">
        <v>740</v>
      </c>
      <c r="F17" s="552"/>
      <c r="G17" s="484">
        <f>130+175</f>
        <v>305</v>
      </c>
      <c r="H17" s="492">
        <v>303.67500000000001</v>
      </c>
      <c r="I17" s="486">
        <f t="shared" si="6"/>
        <v>92620.875</v>
      </c>
      <c r="M17" s="433" t="s">
        <v>741</v>
      </c>
      <c r="N17" s="433" t="s">
        <v>533</v>
      </c>
      <c r="O17" s="556"/>
      <c r="P17" s="599"/>
      <c r="Q17" s="601">
        <f t="shared" si="0"/>
        <v>0</v>
      </c>
      <c r="R17" s="601">
        <f t="shared" si="1"/>
        <v>0</v>
      </c>
      <c r="S17" s="433">
        <f t="shared" si="2"/>
        <v>0</v>
      </c>
      <c r="T17" s="508">
        <f t="shared" si="3"/>
        <v>0</v>
      </c>
      <c r="U17" s="504">
        <f t="shared" si="4"/>
        <v>15</v>
      </c>
      <c r="V17" s="434">
        <f t="shared" si="5"/>
        <v>0</v>
      </c>
      <c r="W17" s="435"/>
    </row>
    <row r="18" spans="1:23">
      <c r="A18" s="367"/>
      <c r="B18" s="367"/>
      <c r="C18" s="367"/>
      <c r="D18" s="367"/>
      <c r="E18" s="551" t="s">
        <v>738</v>
      </c>
      <c r="F18" s="552"/>
      <c r="G18" s="484">
        <v>43</v>
      </c>
      <c r="H18" s="492">
        <v>303.67500000000001</v>
      </c>
      <c r="I18" s="486">
        <f t="shared" si="6"/>
        <v>13058.025</v>
      </c>
      <c r="M18" s="433" t="s">
        <v>742</v>
      </c>
      <c r="N18" s="433" t="s">
        <v>532</v>
      </c>
      <c r="O18" s="556"/>
      <c r="P18" s="599"/>
      <c r="Q18" s="601">
        <f t="shared" si="0"/>
        <v>0</v>
      </c>
      <c r="R18" s="601">
        <f t="shared" si="1"/>
        <v>0</v>
      </c>
      <c r="S18" s="433">
        <f t="shared" si="2"/>
        <v>0</v>
      </c>
      <c r="T18" s="508">
        <f t="shared" si="3"/>
        <v>0</v>
      </c>
      <c r="U18" s="504">
        <f t="shared" si="4"/>
        <v>25</v>
      </c>
      <c r="V18" s="434">
        <f t="shared" si="5"/>
        <v>0</v>
      </c>
      <c r="W18" s="435"/>
    </row>
    <row r="19" spans="1:23">
      <c r="A19" s="367"/>
      <c r="B19" s="367"/>
      <c r="C19" s="367"/>
      <c r="D19" s="367"/>
      <c r="E19" s="551" t="s">
        <v>424</v>
      </c>
      <c r="F19" s="552"/>
      <c r="G19" s="484">
        <v>109</v>
      </c>
      <c r="H19" s="492">
        <v>303.67500000000001</v>
      </c>
      <c r="I19" s="486">
        <f t="shared" si="6"/>
        <v>33100.575000000004</v>
      </c>
      <c r="M19" s="433" t="s">
        <v>686</v>
      </c>
      <c r="N19" s="433" t="s">
        <v>532</v>
      </c>
      <c r="O19" s="556"/>
      <c r="P19" s="599"/>
      <c r="Q19" s="601">
        <f t="shared" si="0"/>
        <v>0</v>
      </c>
      <c r="R19" s="601">
        <f t="shared" si="1"/>
        <v>0</v>
      </c>
      <c r="S19" s="433">
        <f t="shared" si="2"/>
        <v>0</v>
      </c>
      <c r="T19" s="508">
        <f t="shared" si="3"/>
        <v>0</v>
      </c>
      <c r="U19" s="504">
        <f t="shared" si="4"/>
        <v>25</v>
      </c>
      <c r="V19" s="434">
        <f t="shared" si="5"/>
        <v>0</v>
      </c>
      <c r="W19" s="435"/>
    </row>
    <row r="20" spans="1:23">
      <c r="A20" s="367"/>
      <c r="B20" s="367"/>
      <c r="C20" s="367"/>
      <c r="D20" s="367"/>
      <c r="E20" s="551" t="s">
        <v>782</v>
      </c>
      <c r="F20" s="552"/>
      <c r="G20" s="484">
        <v>65</v>
      </c>
      <c r="H20" s="492">
        <v>303.67500000000001</v>
      </c>
      <c r="I20" s="486">
        <f t="shared" si="6"/>
        <v>19738.875</v>
      </c>
      <c r="M20" s="433" t="s">
        <v>677</v>
      </c>
      <c r="N20" s="433" t="s">
        <v>533</v>
      </c>
      <c r="O20" s="556"/>
      <c r="P20" s="599"/>
      <c r="Q20" s="601">
        <f t="shared" si="0"/>
        <v>0</v>
      </c>
      <c r="R20" s="601">
        <f t="shared" si="1"/>
        <v>0</v>
      </c>
      <c r="S20" s="433">
        <f t="shared" si="2"/>
        <v>0</v>
      </c>
      <c r="T20" s="508">
        <f t="shared" si="3"/>
        <v>0</v>
      </c>
      <c r="U20" s="504">
        <f t="shared" si="4"/>
        <v>15</v>
      </c>
      <c r="V20" s="434">
        <f t="shared" si="5"/>
        <v>0</v>
      </c>
      <c r="W20" s="435"/>
    </row>
    <row r="21" spans="1:23">
      <c r="A21" s="367"/>
      <c r="B21" s="367"/>
      <c r="C21" s="367"/>
      <c r="D21" s="367"/>
      <c r="E21" s="551"/>
      <c r="F21" s="552"/>
      <c r="G21" s="484">
        <f t="shared" ref="G21:G27" si="10">IFERROR(VLOOKUP(E21,$M$4:$O$27,3,0)*F21*$B$16*20,)</f>
        <v>0</v>
      </c>
      <c r="H21" s="492">
        <f t="shared" si="8"/>
        <v>0</v>
      </c>
      <c r="I21" s="486">
        <f t="shared" si="6"/>
        <v>0</v>
      </c>
      <c r="M21" s="557" t="s">
        <v>744</v>
      </c>
      <c r="N21" s="557" t="s">
        <v>533</v>
      </c>
      <c r="O21" s="556"/>
      <c r="P21" s="599"/>
      <c r="Q21" s="601">
        <f t="shared" si="0"/>
        <v>0</v>
      </c>
      <c r="R21" s="601">
        <f t="shared" si="1"/>
        <v>0</v>
      </c>
      <c r="S21" s="433">
        <f t="shared" si="2"/>
        <v>0</v>
      </c>
      <c r="T21" s="508">
        <f t="shared" si="3"/>
        <v>0</v>
      </c>
      <c r="U21" s="504">
        <f t="shared" si="4"/>
        <v>15</v>
      </c>
      <c r="V21" s="434">
        <f t="shared" si="5"/>
        <v>0</v>
      </c>
      <c r="W21" s="435"/>
    </row>
    <row r="22" spans="1:23">
      <c r="A22" s="367"/>
      <c r="B22" s="603"/>
      <c r="C22" s="603"/>
      <c r="D22" s="604"/>
      <c r="E22" s="551"/>
      <c r="F22" s="552"/>
      <c r="G22" s="484">
        <f t="shared" si="10"/>
        <v>0</v>
      </c>
      <c r="H22" s="492">
        <f t="shared" si="8"/>
        <v>0</v>
      </c>
      <c r="I22" s="486">
        <f t="shared" si="6"/>
        <v>0</v>
      </c>
      <c r="M22" s="557" t="s">
        <v>781</v>
      </c>
      <c r="N22" s="557" t="s">
        <v>532</v>
      </c>
      <c r="O22" s="556">
        <v>1</v>
      </c>
      <c r="P22" s="599">
        <v>25</v>
      </c>
      <c r="Q22" s="601">
        <f t="shared" si="0"/>
        <v>10.484999999999999</v>
      </c>
      <c r="R22" s="601">
        <f t="shared" si="1"/>
        <v>40.49</v>
      </c>
      <c r="S22" s="433">
        <f t="shared" si="2"/>
        <v>1196.96</v>
      </c>
      <c r="T22" s="508">
        <f t="shared" si="3"/>
        <v>45464.7785</v>
      </c>
      <c r="U22" s="504">
        <f t="shared" si="4"/>
        <v>25</v>
      </c>
      <c r="V22" s="434">
        <f t="shared" si="5"/>
        <v>9.4123123765428224E-2</v>
      </c>
      <c r="W22" s="435"/>
    </row>
    <row r="23" spans="1:23">
      <c r="A23" s="367"/>
      <c r="B23" s="367"/>
      <c r="C23" s="367"/>
      <c r="D23" s="367"/>
      <c r="E23" s="551"/>
      <c r="F23" s="552"/>
      <c r="G23" s="484">
        <f t="shared" si="10"/>
        <v>0</v>
      </c>
      <c r="H23" s="492">
        <f t="shared" si="8"/>
        <v>0</v>
      </c>
      <c r="I23" s="486">
        <f t="shared" si="6"/>
        <v>0</v>
      </c>
      <c r="M23" s="557" t="s">
        <v>782</v>
      </c>
      <c r="N23" s="557" t="s">
        <v>532</v>
      </c>
      <c r="O23" s="556">
        <v>1</v>
      </c>
      <c r="P23" s="599">
        <v>25</v>
      </c>
      <c r="Q23" s="601">
        <f t="shared" si="0"/>
        <v>10.484999999999999</v>
      </c>
      <c r="R23" s="601">
        <f t="shared" si="1"/>
        <v>40.49</v>
      </c>
      <c r="S23" s="433">
        <f t="shared" si="2"/>
        <v>992</v>
      </c>
      <c r="T23" s="508">
        <f t="shared" si="3"/>
        <v>37667.724999999999</v>
      </c>
      <c r="U23" s="504">
        <f t="shared" si="4"/>
        <v>25</v>
      </c>
      <c r="V23" s="434">
        <f t="shared" si="5"/>
        <v>7.8006064342421466E-2</v>
      </c>
      <c r="W23" s="435"/>
    </row>
    <row r="24" spans="1:23">
      <c r="A24" s="367"/>
      <c r="B24" s="367"/>
      <c r="C24" s="367"/>
      <c r="D24" s="367"/>
      <c r="E24" s="551"/>
      <c r="F24" s="552"/>
      <c r="G24" s="484">
        <f t="shared" si="10"/>
        <v>0</v>
      </c>
      <c r="H24" s="492">
        <f t="shared" si="8"/>
        <v>0</v>
      </c>
      <c r="I24" s="486">
        <f t="shared" si="6"/>
        <v>0</v>
      </c>
      <c r="M24" s="557" t="s">
        <v>783</v>
      </c>
      <c r="N24" s="557" t="s">
        <v>533</v>
      </c>
      <c r="O24" s="556">
        <v>1</v>
      </c>
      <c r="P24" s="599">
        <v>15</v>
      </c>
      <c r="Q24" s="601">
        <f t="shared" si="0"/>
        <v>6.2909999999999995</v>
      </c>
      <c r="R24" s="601">
        <f t="shared" si="1"/>
        <v>24.29</v>
      </c>
      <c r="S24" s="433">
        <f t="shared" si="2"/>
        <v>576</v>
      </c>
      <c r="T24" s="508">
        <f t="shared" si="3"/>
        <v>13104</v>
      </c>
      <c r="U24" s="504">
        <f t="shared" si="4"/>
        <v>15</v>
      </c>
      <c r="V24" s="434">
        <f t="shared" si="5"/>
        <v>4.5293843811728594E-2</v>
      </c>
      <c r="W24" s="435"/>
    </row>
    <row r="25" spans="1:23">
      <c r="A25" s="367"/>
      <c r="B25" s="367"/>
      <c r="C25" s="367"/>
      <c r="D25" s="367"/>
      <c r="E25" s="551"/>
      <c r="F25" s="552"/>
      <c r="G25" s="484">
        <f t="shared" si="10"/>
        <v>0</v>
      </c>
      <c r="H25" s="492">
        <f t="shared" si="8"/>
        <v>0</v>
      </c>
      <c r="I25" s="486">
        <f t="shared" si="6"/>
        <v>0</v>
      </c>
      <c r="M25" s="557"/>
      <c r="N25" s="557"/>
      <c r="O25" s="556"/>
      <c r="P25" s="599"/>
      <c r="Q25" s="601">
        <f t="shared" si="0"/>
        <v>0</v>
      </c>
      <c r="R25" s="601">
        <f t="shared" si="1"/>
        <v>0</v>
      </c>
      <c r="S25" s="433">
        <f t="shared" si="2"/>
        <v>0</v>
      </c>
      <c r="T25" s="508">
        <f t="shared" si="3"/>
        <v>0</v>
      </c>
      <c r="U25" s="504">
        <f t="shared" si="4"/>
        <v>15</v>
      </c>
      <c r="V25" s="434">
        <f t="shared" si="5"/>
        <v>0</v>
      </c>
      <c r="W25" s="435"/>
    </row>
    <row r="26" spans="1:23">
      <c r="A26" s="367"/>
      <c r="B26" s="367"/>
      <c r="C26" s="367"/>
      <c r="D26" s="367"/>
      <c r="E26" s="551"/>
      <c r="F26" s="552"/>
      <c r="G26" s="484">
        <f t="shared" si="10"/>
        <v>0</v>
      </c>
      <c r="H26" s="492">
        <f t="shared" si="8"/>
        <v>0</v>
      </c>
      <c r="I26" s="486">
        <f t="shared" si="6"/>
        <v>0</v>
      </c>
      <c r="M26" s="557"/>
      <c r="N26" s="557"/>
      <c r="O26" s="556"/>
      <c r="P26" s="599"/>
      <c r="Q26" s="601">
        <f t="shared" si="0"/>
        <v>0</v>
      </c>
      <c r="R26" s="601">
        <f t="shared" si="1"/>
        <v>0</v>
      </c>
      <c r="S26" s="433">
        <f t="shared" si="2"/>
        <v>0</v>
      </c>
      <c r="T26" s="508">
        <f t="shared" si="3"/>
        <v>0</v>
      </c>
      <c r="U26" s="504">
        <f t="shared" ref="U26:U27" si="11">IF(N26="hlavná",25,15)</f>
        <v>15</v>
      </c>
      <c r="V26" s="434">
        <f t="shared" si="5"/>
        <v>0</v>
      </c>
      <c r="W26" s="435"/>
    </row>
    <row r="27" spans="1:23">
      <c r="A27" s="367"/>
      <c r="B27" s="367"/>
      <c r="C27" s="367"/>
      <c r="D27" s="367"/>
      <c r="E27" s="551"/>
      <c r="F27" s="552"/>
      <c r="G27" s="484">
        <f t="shared" si="10"/>
        <v>0</v>
      </c>
      <c r="H27" s="492">
        <f t="shared" si="8"/>
        <v>0</v>
      </c>
      <c r="I27" s="486">
        <f t="shared" si="6"/>
        <v>0</v>
      </c>
      <c r="M27" s="557"/>
      <c r="N27" s="557"/>
      <c r="O27" s="556"/>
      <c r="P27" s="599"/>
      <c r="Q27" s="601">
        <f t="shared" si="0"/>
        <v>0</v>
      </c>
      <c r="R27" s="601">
        <f t="shared" si="1"/>
        <v>0</v>
      </c>
      <c r="S27" s="433">
        <f t="shared" si="2"/>
        <v>0</v>
      </c>
      <c r="T27" s="508">
        <f t="shared" si="3"/>
        <v>0</v>
      </c>
      <c r="U27" s="504">
        <f t="shared" si="11"/>
        <v>15</v>
      </c>
      <c r="V27" s="434">
        <f t="shared" si="5"/>
        <v>0</v>
      </c>
      <c r="W27" s="435"/>
    </row>
    <row r="28" spans="1:23">
      <c r="A28" s="370" t="s">
        <v>263</v>
      </c>
      <c r="B28" s="555">
        <v>14</v>
      </c>
      <c r="C28" s="484">
        <f>SUM(G28:G39)</f>
        <v>293.62</v>
      </c>
      <c r="D28" s="485">
        <f>IFERROR(SUM(I28:I39)/C28,0)</f>
        <v>303.67500000000001</v>
      </c>
      <c r="E28" s="551" t="s">
        <v>781</v>
      </c>
      <c r="F28" s="552"/>
      <c r="G28" s="484">
        <v>8.6199999999999992</v>
      </c>
      <c r="H28" s="492">
        <v>303.67500000000001</v>
      </c>
      <c r="I28" s="486">
        <f t="shared" si="6"/>
        <v>2617.6785</v>
      </c>
    </row>
    <row r="29" spans="1:23">
      <c r="A29" s="367"/>
      <c r="B29" s="367"/>
      <c r="C29" s="367"/>
      <c r="D29" s="367"/>
      <c r="E29" s="551" t="s">
        <v>740</v>
      </c>
      <c r="F29" s="552"/>
      <c r="G29" s="484">
        <f>44+175</f>
        <v>219</v>
      </c>
      <c r="H29" s="492">
        <v>303.67500000000001</v>
      </c>
      <c r="I29" s="486">
        <f t="shared" si="6"/>
        <v>66504.824999999997</v>
      </c>
    </row>
    <row r="30" spans="1:23">
      <c r="A30" s="367"/>
      <c r="B30" s="367"/>
      <c r="C30" s="367"/>
      <c r="D30" s="367"/>
      <c r="E30" s="551" t="s">
        <v>738</v>
      </c>
      <c r="F30" s="552"/>
      <c r="G30" s="484">
        <v>22</v>
      </c>
      <c r="H30" s="492">
        <v>303.67500000000001</v>
      </c>
      <c r="I30" s="486">
        <f t="shared" si="6"/>
        <v>6680.85</v>
      </c>
    </row>
    <row r="31" spans="1:23">
      <c r="A31" s="367"/>
      <c r="B31" s="367"/>
      <c r="C31" s="367"/>
      <c r="D31" s="367"/>
      <c r="E31" s="551" t="s">
        <v>424</v>
      </c>
      <c r="F31" s="552"/>
      <c r="G31" s="484">
        <v>22</v>
      </c>
      <c r="H31" s="492">
        <v>303.67500000000001</v>
      </c>
      <c r="I31" s="486">
        <f t="shared" si="6"/>
        <v>6680.85</v>
      </c>
    </row>
    <row r="32" spans="1:23">
      <c r="A32" s="367"/>
      <c r="B32" s="367"/>
      <c r="C32" s="367"/>
      <c r="D32" s="367"/>
      <c r="E32" s="551" t="s">
        <v>782</v>
      </c>
      <c r="F32" s="552"/>
      <c r="G32" s="484">
        <v>22</v>
      </c>
      <c r="H32" s="492">
        <v>303.67500000000001</v>
      </c>
      <c r="I32" s="486">
        <f t="shared" si="6"/>
        <v>6680.85</v>
      </c>
    </row>
    <row r="33" spans="1:9">
      <c r="A33" s="367"/>
      <c r="B33" s="367"/>
      <c r="C33" s="367"/>
      <c r="D33" s="367"/>
      <c r="E33" s="551"/>
      <c r="F33" s="552"/>
      <c r="G33" s="484">
        <f t="shared" ref="G33:G39" si="12">IFERROR(VLOOKUP(E33,$M$4:$O$27,3,0)*F33*$B$28*20,)</f>
        <v>0</v>
      </c>
      <c r="H33" s="492">
        <f t="shared" si="8"/>
        <v>0</v>
      </c>
      <c r="I33" s="486">
        <f t="shared" si="6"/>
        <v>0</v>
      </c>
    </row>
    <row r="34" spans="1:9">
      <c r="A34" s="367"/>
      <c r="B34" s="367"/>
      <c r="C34" s="367"/>
      <c r="D34" s="367"/>
      <c r="E34" s="551"/>
      <c r="F34" s="552"/>
      <c r="G34" s="484">
        <f t="shared" si="12"/>
        <v>0</v>
      </c>
      <c r="H34" s="492">
        <f t="shared" si="8"/>
        <v>0</v>
      </c>
      <c r="I34" s="486">
        <f t="shared" ref="I34:I39" si="13">G34*H34</f>
        <v>0</v>
      </c>
    </row>
    <row r="35" spans="1:9">
      <c r="A35" s="367"/>
      <c r="B35" s="367"/>
      <c r="C35" s="367"/>
      <c r="D35" s="367"/>
      <c r="E35" s="551"/>
      <c r="F35" s="552"/>
      <c r="G35" s="484">
        <f t="shared" si="12"/>
        <v>0</v>
      </c>
      <c r="H35" s="492">
        <f t="shared" si="8"/>
        <v>0</v>
      </c>
      <c r="I35" s="486">
        <f t="shared" si="13"/>
        <v>0</v>
      </c>
    </row>
    <row r="36" spans="1:9">
      <c r="A36" s="367"/>
      <c r="B36" s="367"/>
      <c r="C36" s="367"/>
      <c r="D36" s="367"/>
      <c r="E36" s="551"/>
      <c r="F36" s="552"/>
      <c r="G36" s="484">
        <f t="shared" si="12"/>
        <v>0</v>
      </c>
      <c r="H36" s="492">
        <f t="shared" si="8"/>
        <v>0</v>
      </c>
      <c r="I36" s="486">
        <f t="shared" si="13"/>
        <v>0</v>
      </c>
    </row>
    <row r="37" spans="1:9">
      <c r="A37" s="367"/>
      <c r="B37" s="367"/>
      <c r="C37" s="367"/>
      <c r="D37" s="367"/>
      <c r="E37" s="551"/>
      <c r="F37" s="552"/>
      <c r="G37" s="484">
        <f t="shared" si="12"/>
        <v>0</v>
      </c>
      <c r="H37" s="492">
        <f t="shared" si="8"/>
        <v>0</v>
      </c>
      <c r="I37" s="486">
        <f t="shared" si="13"/>
        <v>0</v>
      </c>
    </row>
    <row r="38" spans="1:9">
      <c r="A38" s="367"/>
      <c r="B38" s="367"/>
      <c r="C38" s="367"/>
      <c r="D38" s="367"/>
      <c r="E38" s="551"/>
      <c r="F38" s="552"/>
      <c r="G38" s="484">
        <f t="shared" si="12"/>
        <v>0</v>
      </c>
      <c r="H38" s="492">
        <f t="shared" si="8"/>
        <v>0</v>
      </c>
      <c r="I38" s="486">
        <f t="shared" si="13"/>
        <v>0</v>
      </c>
    </row>
    <row r="39" spans="1:9">
      <c r="A39" s="367"/>
      <c r="B39" s="367"/>
      <c r="C39" s="367"/>
      <c r="D39" s="367"/>
      <c r="E39" s="551"/>
      <c r="F39" s="552"/>
      <c r="G39" s="484">
        <f t="shared" si="12"/>
        <v>0</v>
      </c>
      <c r="H39" s="492">
        <f t="shared" si="8"/>
        <v>0</v>
      </c>
      <c r="I39" s="486">
        <f t="shared" si="13"/>
        <v>0</v>
      </c>
    </row>
    <row r="40" spans="1:9">
      <c r="A40" s="370" t="s">
        <v>235</v>
      </c>
      <c r="B40" s="555">
        <v>14</v>
      </c>
      <c r="C40" s="484">
        <v>72</v>
      </c>
      <c r="D40" s="485">
        <v>182</v>
      </c>
      <c r="E40" s="557" t="s">
        <v>783</v>
      </c>
      <c r="F40" s="552"/>
      <c r="G40" s="484">
        <v>72</v>
      </c>
      <c r="H40" s="492">
        <v>182</v>
      </c>
      <c r="I40" s="486">
        <f t="shared" ref="I40:I45" si="14">G40*H40</f>
        <v>13104</v>
      </c>
    </row>
    <row r="41" spans="1:9">
      <c r="A41" s="367"/>
      <c r="B41" s="367"/>
      <c r="C41" s="367"/>
      <c r="D41" s="367"/>
      <c r="E41" s="551"/>
      <c r="F41" s="552"/>
      <c r="G41" s="484">
        <f t="shared" ref="G41:G51" si="15">IFERROR(VLOOKUP(E41,$M$4:$O$27,3,0)*F41*$B$40*20,)</f>
        <v>0</v>
      </c>
      <c r="H41" s="492">
        <f t="shared" si="8"/>
        <v>0</v>
      </c>
      <c r="I41" s="486">
        <f t="shared" si="14"/>
        <v>0</v>
      </c>
    </row>
    <row r="42" spans="1:9">
      <c r="A42" s="367"/>
      <c r="B42" s="367"/>
      <c r="C42" s="367"/>
      <c r="D42" s="367"/>
      <c r="E42" s="551"/>
      <c r="F42" s="552"/>
      <c r="G42" s="484">
        <f t="shared" si="15"/>
        <v>0</v>
      </c>
      <c r="H42" s="492">
        <f t="shared" si="8"/>
        <v>0</v>
      </c>
      <c r="I42" s="486">
        <f t="shared" si="14"/>
        <v>0</v>
      </c>
    </row>
    <row r="43" spans="1:9">
      <c r="A43" s="367"/>
      <c r="B43" s="367"/>
      <c r="C43" s="367"/>
      <c r="D43" s="367"/>
      <c r="E43" s="551"/>
      <c r="F43" s="552"/>
      <c r="G43" s="484">
        <f t="shared" si="15"/>
        <v>0</v>
      </c>
      <c r="H43" s="492">
        <f t="shared" si="8"/>
        <v>0</v>
      </c>
      <c r="I43" s="486">
        <f t="shared" si="14"/>
        <v>0</v>
      </c>
    </row>
    <row r="44" spans="1:9">
      <c r="A44" s="367"/>
      <c r="B44" s="367"/>
      <c r="C44" s="367"/>
      <c r="D44" s="367"/>
      <c r="E44" s="551"/>
      <c r="F44" s="552"/>
      <c r="G44" s="484">
        <f t="shared" si="15"/>
        <v>0</v>
      </c>
      <c r="H44" s="492">
        <f t="shared" si="8"/>
        <v>0</v>
      </c>
      <c r="I44" s="486">
        <f t="shared" si="14"/>
        <v>0</v>
      </c>
    </row>
    <row r="45" spans="1:9">
      <c r="A45" s="367"/>
      <c r="B45" s="367"/>
      <c r="C45" s="367"/>
      <c r="D45" s="367"/>
      <c r="E45" s="551"/>
      <c r="F45" s="552"/>
      <c r="G45" s="484">
        <f t="shared" si="15"/>
        <v>0</v>
      </c>
      <c r="H45" s="492">
        <f t="shared" si="8"/>
        <v>0</v>
      </c>
      <c r="I45" s="486">
        <f t="shared" si="14"/>
        <v>0</v>
      </c>
    </row>
    <row r="46" spans="1:9">
      <c r="E46" s="551"/>
      <c r="F46" s="552"/>
      <c r="G46" s="484">
        <f t="shared" si="15"/>
        <v>0</v>
      </c>
      <c r="H46" s="492">
        <f t="shared" si="8"/>
        <v>0</v>
      </c>
      <c r="I46" s="486">
        <f t="shared" ref="I46:I50" si="16">G46*H46</f>
        <v>0</v>
      </c>
    </row>
    <row r="47" spans="1:9">
      <c r="E47" s="551"/>
      <c r="F47" s="552"/>
      <c r="G47" s="484">
        <f t="shared" si="15"/>
        <v>0</v>
      </c>
      <c r="H47" s="492">
        <f t="shared" si="8"/>
        <v>0</v>
      </c>
      <c r="I47" s="486">
        <f t="shared" si="16"/>
        <v>0</v>
      </c>
    </row>
    <row r="48" spans="1:9">
      <c r="E48" s="551"/>
      <c r="F48" s="552"/>
      <c r="G48" s="484">
        <f t="shared" si="15"/>
        <v>0</v>
      </c>
      <c r="H48" s="492">
        <f t="shared" si="8"/>
        <v>0</v>
      </c>
      <c r="I48" s="486">
        <f t="shared" si="16"/>
        <v>0</v>
      </c>
    </row>
    <row r="49" spans="1:9">
      <c r="E49" s="551"/>
      <c r="F49" s="552"/>
      <c r="G49" s="484">
        <f t="shared" si="15"/>
        <v>0</v>
      </c>
      <c r="H49" s="492">
        <f t="shared" si="8"/>
        <v>0</v>
      </c>
      <c r="I49" s="486">
        <f t="shared" si="16"/>
        <v>0</v>
      </c>
    </row>
    <row r="50" spans="1:9">
      <c r="E50" s="551"/>
      <c r="F50" s="552"/>
      <c r="G50" s="484">
        <f t="shared" si="15"/>
        <v>0</v>
      </c>
      <c r="H50" s="492">
        <f t="shared" si="8"/>
        <v>0</v>
      </c>
      <c r="I50" s="486">
        <f t="shared" si="16"/>
        <v>0</v>
      </c>
    </row>
    <row r="51" spans="1:9">
      <c r="E51" s="551"/>
      <c r="F51" s="552"/>
      <c r="G51" s="484">
        <f t="shared" si="15"/>
        <v>0</v>
      </c>
      <c r="H51" s="492">
        <f t="shared" si="8"/>
        <v>0</v>
      </c>
      <c r="I51" s="486">
        <f t="shared" ref="I51:I62" si="17">G51*H51</f>
        <v>0</v>
      </c>
    </row>
    <row r="52" spans="1:9">
      <c r="A52" s="370" t="s">
        <v>116</v>
      </c>
      <c r="B52" s="555">
        <v>0</v>
      </c>
      <c r="C52" s="484">
        <f>SUM(G52:G63)</f>
        <v>0</v>
      </c>
      <c r="D52" s="485">
        <f>IFERROR(SUM(I52:I63)/C52,)</f>
        <v>0</v>
      </c>
      <c r="E52" s="551"/>
      <c r="F52" s="552"/>
      <c r="G52" s="484">
        <f>IFERROR(VLOOKUP(E52,$M$4:$O$27,3,0)*F52*$B$52*20,)</f>
        <v>0</v>
      </c>
      <c r="H52" s="492">
        <f t="shared" si="8"/>
        <v>0</v>
      </c>
      <c r="I52" s="486">
        <f t="shared" si="17"/>
        <v>0</v>
      </c>
    </row>
    <row r="53" spans="1:9">
      <c r="A53" s="367"/>
      <c r="B53" s="367"/>
      <c r="C53" s="367"/>
      <c r="D53" s="367"/>
      <c r="E53" s="551"/>
      <c r="F53" s="552"/>
      <c r="G53" s="484">
        <f t="shared" ref="G53:G62" si="18">IFERROR(VLOOKUP(E53,$M$4:$O$27,3,0)*F53*$B$52*20,)</f>
        <v>0</v>
      </c>
      <c r="H53" s="492">
        <f t="shared" si="8"/>
        <v>0</v>
      </c>
      <c r="I53" s="486">
        <f t="shared" si="17"/>
        <v>0</v>
      </c>
    </row>
    <row r="54" spans="1:9">
      <c r="A54" s="367"/>
      <c r="B54" s="367"/>
      <c r="C54" s="367"/>
      <c r="D54" s="367"/>
      <c r="E54" s="551"/>
      <c r="F54" s="552"/>
      <c r="G54" s="484">
        <f t="shared" si="18"/>
        <v>0</v>
      </c>
      <c r="H54" s="492">
        <f t="shared" si="8"/>
        <v>0</v>
      </c>
      <c r="I54" s="486">
        <f t="shared" si="17"/>
        <v>0</v>
      </c>
    </row>
    <row r="55" spans="1:9">
      <c r="A55" s="367"/>
      <c r="B55" s="367"/>
      <c r="C55" s="367"/>
      <c r="D55" s="367"/>
      <c r="E55" s="551"/>
      <c r="F55" s="552"/>
      <c r="G55" s="484">
        <f t="shared" si="18"/>
        <v>0</v>
      </c>
      <c r="H55" s="492">
        <f t="shared" si="8"/>
        <v>0</v>
      </c>
      <c r="I55" s="486">
        <f t="shared" si="17"/>
        <v>0</v>
      </c>
    </row>
    <row r="56" spans="1:9">
      <c r="A56" s="367"/>
      <c r="B56" s="367"/>
      <c r="C56" s="367"/>
      <c r="D56" s="367"/>
      <c r="E56" s="551"/>
      <c r="F56" s="552"/>
      <c r="G56" s="484">
        <f t="shared" si="18"/>
        <v>0</v>
      </c>
      <c r="H56" s="492">
        <f t="shared" si="8"/>
        <v>0</v>
      </c>
      <c r="I56" s="486">
        <f t="shared" si="17"/>
        <v>0</v>
      </c>
    </row>
    <row r="57" spans="1:9">
      <c r="A57" s="367"/>
      <c r="B57" s="367"/>
      <c r="C57" s="367"/>
      <c r="D57" s="367"/>
      <c r="E57" s="551"/>
      <c r="F57" s="552"/>
      <c r="G57" s="484">
        <f t="shared" si="18"/>
        <v>0</v>
      </c>
      <c r="H57" s="492">
        <f t="shared" si="8"/>
        <v>0</v>
      </c>
      <c r="I57" s="486">
        <f t="shared" si="17"/>
        <v>0</v>
      </c>
    </row>
    <row r="58" spans="1:9">
      <c r="E58" s="551"/>
      <c r="F58" s="552"/>
      <c r="G58" s="484">
        <f t="shared" si="18"/>
        <v>0</v>
      </c>
      <c r="H58" s="492">
        <f t="shared" si="8"/>
        <v>0</v>
      </c>
      <c r="I58" s="486">
        <f t="shared" si="17"/>
        <v>0</v>
      </c>
    </row>
    <row r="59" spans="1:9">
      <c r="E59" s="551"/>
      <c r="F59" s="552"/>
      <c r="G59" s="484">
        <f t="shared" si="18"/>
        <v>0</v>
      </c>
      <c r="H59" s="492">
        <f t="shared" si="8"/>
        <v>0</v>
      </c>
      <c r="I59" s="486">
        <f t="shared" si="17"/>
        <v>0</v>
      </c>
    </row>
    <row r="60" spans="1:9">
      <c r="E60" s="551"/>
      <c r="F60" s="552"/>
      <c r="G60" s="484">
        <f t="shared" si="18"/>
        <v>0</v>
      </c>
      <c r="H60" s="492">
        <f t="shared" si="8"/>
        <v>0</v>
      </c>
      <c r="I60" s="486">
        <f t="shared" si="17"/>
        <v>0</v>
      </c>
    </row>
    <row r="61" spans="1:9">
      <c r="E61" s="551"/>
      <c r="F61" s="552"/>
      <c r="G61" s="484">
        <f t="shared" si="18"/>
        <v>0</v>
      </c>
      <c r="H61" s="492">
        <f t="shared" si="8"/>
        <v>0</v>
      </c>
      <c r="I61" s="486">
        <f t="shared" si="17"/>
        <v>0</v>
      </c>
    </row>
    <row r="62" spans="1:9">
      <c r="E62" s="551"/>
      <c r="F62" s="552"/>
      <c r="G62" s="484">
        <f t="shared" si="18"/>
        <v>0</v>
      </c>
      <c r="H62" s="492">
        <f t="shared" si="8"/>
        <v>0</v>
      </c>
      <c r="I62" s="486">
        <f t="shared" si="17"/>
        <v>0</v>
      </c>
    </row>
    <row r="63" spans="1:9">
      <c r="A63" s="370" t="str">
        <f>IF(SUM('Zdroje Financovania'!L3:L21)&gt;0,TEXT("Saldokonto - Pomocný výpočet",),TEXT(" ",))</f>
        <v>Saldokonto - Pomocný výpočet</v>
      </c>
      <c r="B63" s="808"/>
      <c r="C63" s="809"/>
      <c r="D63" s="809"/>
      <c r="E63" s="809"/>
      <c r="F63" s="809"/>
      <c r="G63" s="809"/>
      <c r="H63" s="810"/>
      <c r="I63" s="486"/>
    </row>
    <row r="64" spans="1:9">
      <c r="A64" s="370" t="str">
        <f>IF(SUM('Zdroje Financovania'!L3:L21)&gt;0,TEXT("Podporné aktivity",),TEXT(" ",))</f>
        <v>Podporné aktivity</v>
      </c>
      <c r="B64" s="811" t="str">
        <f>IF(SUM('Zdroje Financovania'!L3:L21)&gt;0,TEXT("907 - Paušálna sadzba na nepriame výdavky podľa článku 54 písm. a) NSU",),TEXT(" ",))</f>
        <v>907 - Paušálna sadzba na nepriame výdavky podľa článku 54 písm. a) NSU</v>
      </c>
      <c r="C64" s="812"/>
      <c r="D64" s="812"/>
      <c r="E64" s="812"/>
      <c r="F64" s="812"/>
      <c r="G64" s="812"/>
      <c r="H64" s="665"/>
      <c r="I64" s="665"/>
    </row>
  </sheetData>
  <mergeCells count="4">
    <mergeCell ref="E1:F1"/>
    <mergeCell ref="E2:F2"/>
    <mergeCell ref="B63:H63"/>
    <mergeCell ref="B64:G64"/>
  </mergeCells>
  <conditionalFormatting sqref="P4:P27">
    <cfRule type="cellIs" dxfId="4" priority="1" operator="greaterThan">
      <formula>$U4</formula>
    </cfRule>
  </conditionalFormatting>
  <conditionalFormatting sqref="Q2">
    <cfRule type="cellIs" dxfId="3" priority="5" operator="greaterThan">
      <formula>0.2</formula>
    </cfRule>
  </conditionalFormatting>
  <dataValidations count="1">
    <dataValidation type="list" allowBlank="1" showInputMessage="1" showErrorMessage="1" sqref="E4:E39 E41:E62" xr:uid="{00000000-0002-0000-1000-000000000000}">
      <formula1>Pozicia</formula1>
    </dataValidation>
  </dataValidations>
  <pageMargins left="0.7" right="0.7" top="0.75" bottom="0.75" header="0.3" footer="0.3"/>
  <pageSetup paperSize="9" orientation="portrait" horizontalDpi="4294967293"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árok15">
    <tabColor rgb="FF00B050"/>
  </sheetPr>
  <dimension ref="A1:L65"/>
  <sheetViews>
    <sheetView topLeftCell="B1" zoomScale="90" zoomScaleNormal="90" workbookViewId="0">
      <pane ySplit="2" topLeftCell="A3" activePane="bottomLeft" state="frozen"/>
      <selection activeCell="J3" sqref="J3:J11"/>
      <selection pane="bottomLeft" activeCell="E1" sqref="E1"/>
    </sheetView>
  </sheetViews>
  <sheetFormatPr defaultColWidth="8.7109375" defaultRowHeight="15"/>
  <cols>
    <col min="1" max="1" width="9.42578125" style="365" customWidth="1"/>
    <col min="2" max="2" width="36.28515625" style="365" customWidth="1"/>
    <col min="3" max="3" width="31.28515625" style="365" customWidth="1"/>
    <col min="4" max="4" width="51.42578125" style="365" customWidth="1"/>
    <col min="5" max="5" width="14.140625" style="365" bestFit="1" customWidth="1"/>
    <col min="6" max="6" width="14.140625" style="365" customWidth="1"/>
    <col min="7" max="7" width="13.7109375" style="365" customWidth="1"/>
    <col min="8" max="8" width="14.7109375" style="365" customWidth="1"/>
    <col min="9" max="9" width="14.7109375" style="372" customWidth="1"/>
    <col min="10" max="11" width="14.7109375" style="365" customWidth="1"/>
    <col min="12" max="12" width="52.140625" style="365" customWidth="1"/>
    <col min="13" max="16384" width="8.7109375" style="365"/>
  </cols>
  <sheetData>
    <row r="1" spans="1:12">
      <c r="A1" s="813" t="s">
        <v>117</v>
      </c>
      <c r="B1" s="814"/>
      <c r="C1" s="814"/>
      <c r="D1" s="815"/>
      <c r="E1" s="487">
        <f>SUM(E3:E22)</f>
        <v>3564.9999999999991</v>
      </c>
      <c r="F1" s="487">
        <f>SUM(F3:F22)</f>
        <v>1517.6200000000006</v>
      </c>
      <c r="G1" s="493"/>
      <c r="H1" s="487"/>
      <c r="I1" s="488">
        <f>SUM(I3:I22)</f>
        <v>461074.50350000005</v>
      </c>
      <c r="J1" s="488">
        <f>SUM(J3:J22)</f>
        <v>3014369.9999999995</v>
      </c>
      <c r="K1" s="488">
        <f>SUM(K3:K22)</f>
        <v>3475444.5034999996</v>
      </c>
      <c r="L1" s="489"/>
    </row>
    <row r="2" spans="1:12" ht="51" customHeight="1">
      <c r="A2" s="490" t="s">
        <v>420</v>
      </c>
      <c r="B2" s="490" t="s">
        <v>260</v>
      </c>
      <c r="C2" s="490" t="s">
        <v>261</v>
      </c>
      <c r="D2" s="490" t="s">
        <v>250</v>
      </c>
      <c r="E2" s="491" t="s">
        <v>443</v>
      </c>
      <c r="F2" s="491" t="s">
        <v>439</v>
      </c>
      <c r="G2" s="491" t="s">
        <v>438</v>
      </c>
      <c r="H2" s="491" t="s">
        <v>437</v>
      </c>
      <c r="I2" s="491" t="s">
        <v>440</v>
      </c>
      <c r="J2" s="491" t="s">
        <v>441</v>
      </c>
      <c r="K2" s="491" t="s">
        <v>35</v>
      </c>
      <c r="L2" s="491" t="s">
        <v>412</v>
      </c>
    </row>
    <row r="3" spans="1:12" ht="15" customHeight="1">
      <c r="A3" s="818" t="s">
        <v>272</v>
      </c>
      <c r="B3" s="558" t="s">
        <v>780</v>
      </c>
      <c r="C3" s="437" t="s">
        <v>262</v>
      </c>
      <c r="D3" s="558"/>
      <c r="E3" s="641">
        <f>0.835*AKTIVITY_POZICIE!$D$4</f>
        <v>1189.875</v>
      </c>
      <c r="F3" s="500">
        <f>IFERROR(VLOOKUP(C3,POZICIE_INTERNE!$A$4:$D$39,3,0)*VLOOKUP(B3,MODULY_CBA!$B$3:$J$23,9,0)/SUM(MODULY_CBA!$J$3:$J$23),)</f>
        <v>542.75000000000011</v>
      </c>
      <c r="G3" s="506">
        <f>IFERROR(IF(ISTEXT(B3),VLOOKUP(C3,POZICIE_INTERNE!$A$4:$D$39,4,0),),)</f>
        <v>304</v>
      </c>
      <c r="H3" s="507">
        <f>IF(ISTEXT(B3),VLOOKUP(C3,AKTIVITY_POZICIE!$A$4:$E$39,5,0),)</f>
        <v>675.87368421052633</v>
      </c>
      <c r="I3" s="501">
        <f>G3*F3</f>
        <v>164996.00000000003</v>
      </c>
      <c r="J3" s="501">
        <f>E3*H3*1.2</f>
        <v>965046.24</v>
      </c>
      <c r="K3" s="501">
        <f>J3+I3</f>
        <v>1130042.24</v>
      </c>
      <c r="L3" s="559"/>
    </row>
    <row r="4" spans="1:12" ht="15" customHeight="1">
      <c r="A4" s="816"/>
      <c r="B4" s="558" t="s">
        <v>780</v>
      </c>
      <c r="C4" s="437" t="s">
        <v>541</v>
      </c>
      <c r="D4" s="558"/>
      <c r="E4" s="641">
        <f>0.835*AKTIVITY_POZICIE!$D$16</f>
        <v>1390.2749999999999</v>
      </c>
      <c r="F4" s="500">
        <f>IFERROR(VLOOKUP(C4,POZICIE_INTERNE!$A$4:$D$39,3,0)*VLOOKUP(B4,MODULY_CBA!$B$3:$J$23,9,0)/SUM(MODULY_CBA!$J$3:$J$23),)</f>
        <v>479.29000000000008</v>
      </c>
      <c r="G4" s="506">
        <f>IFERROR(IF(ISTEXT(B4),VLOOKUP(C4,POZICIE_INTERNE!$A$4:$D$39,4,0),),)</f>
        <v>303.67500000000001</v>
      </c>
      <c r="H4" s="507">
        <f>IF(ISTEXT(B4),VLOOKUP(C4,AKTIVITY_POZICIE!$A$4:$E$39,5,0),)</f>
        <v>731.8048048048048</v>
      </c>
      <c r="I4" s="501">
        <f t="shared" ref="I4:I65" si="0">G4*F4</f>
        <v>145548.39075000002</v>
      </c>
      <c r="J4" s="501">
        <f t="shared" ref="J4:J65" si="1">E4*H4*1.2</f>
        <v>1220891.9099999999</v>
      </c>
      <c r="K4" s="501">
        <f t="shared" ref="K4:K22" si="2">J4+I4</f>
        <v>1366440.3007499999</v>
      </c>
      <c r="L4" s="559"/>
    </row>
    <row r="5" spans="1:12" ht="15" customHeight="1">
      <c r="A5" s="816"/>
      <c r="B5" s="558" t="s">
        <v>780</v>
      </c>
      <c r="C5" s="437" t="s">
        <v>263</v>
      </c>
      <c r="D5" s="558"/>
      <c r="E5" s="641">
        <f>0.835*AKTIVITY_POZICIE!$D$28</f>
        <v>396.625</v>
      </c>
      <c r="F5" s="500">
        <f>IFERROR(VLOOKUP(C5,POZICIE_INTERNE!$A$4:$D$39,3,0)*VLOOKUP(B5,MODULY_CBA!$B$3:$J$23,9,0)/SUM(MODULY_CBA!$J$3:$J$23),)</f>
        <v>245.17270000000002</v>
      </c>
      <c r="G5" s="506">
        <f>IFERROR(IF(ISTEXT(B5),VLOOKUP(C5,POZICIE_INTERNE!$A$4:$D$39,4,0),),)</f>
        <v>303.67500000000001</v>
      </c>
      <c r="H5" s="507">
        <f>IF(ISTEXT(B5),VLOOKUP(C5,AKTIVITY_POZICIE!$A$4:$E$39,5,0),)</f>
        <v>695.57894736842104</v>
      </c>
      <c r="I5" s="501">
        <f t="shared" si="0"/>
        <v>74452.819672500016</v>
      </c>
      <c r="J5" s="501">
        <f t="shared" si="1"/>
        <v>331060.8</v>
      </c>
      <c r="K5" s="501">
        <f t="shared" si="2"/>
        <v>405513.6196725</v>
      </c>
      <c r="L5" s="559"/>
    </row>
    <row r="6" spans="1:12" ht="15" customHeight="1">
      <c r="A6" s="816" t="s">
        <v>273</v>
      </c>
      <c r="B6" s="558" t="s">
        <v>796</v>
      </c>
      <c r="C6" s="437" t="s">
        <v>262</v>
      </c>
      <c r="D6" s="558"/>
      <c r="E6" s="641">
        <f>0.0675*AKTIVITY_POZICIE!$D$4</f>
        <v>96.1875</v>
      </c>
      <c r="F6" s="500">
        <f>IFERROR(VLOOKUP(C6,POZICIE_INTERNE!$A$4:$D$39,3,0)*VLOOKUP(B6,MODULY_CBA!$B$3:$J$23,9,0)/SUM(MODULY_CBA!$J$3:$J$23),)</f>
        <v>43.875000000000014</v>
      </c>
      <c r="G6" s="506">
        <f>IFERROR(IF(ISTEXT(B6),VLOOKUP(C6,POZICIE_INTERNE!$A$4:$D$39,4,0),),)</f>
        <v>304</v>
      </c>
      <c r="H6" s="507">
        <f>IF(ISTEXT(B6),VLOOKUP(C6,AKTIVITY_POZICIE!$A$4:$E$39,5,0),)</f>
        <v>675.87368421052633</v>
      </c>
      <c r="I6" s="501">
        <f t="shared" si="0"/>
        <v>13338.000000000004</v>
      </c>
      <c r="J6" s="501">
        <f t="shared" si="1"/>
        <v>78012.72</v>
      </c>
      <c r="K6" s="501">
        <f t="shared" si="2"/>
        <v>91350.720000000001</v>
      </c>
      <c r="L6" s="559"/>
    </row>
    <row r="7" spans="1:12" ht="15" customHeight="1">
      <c r="A7" s="816"/>
      <c r="B7" s="558" t="s">
        <v>796</v>
      </c>
      <c r="C7" s="437" t="s">
        <v>541</v>
      </c>
      <c r="D7" s="558"/>
      <c r="E7" s="641">
        <f>0.0675*AKTIVITY_POZICIE!$D$16</f>
        <v>112.3875</v>
      </c>
      <c r="F7" s="500">
        <f>IFERROR(VLOOKUP(C7,POZICIE_INTERNE!$A$4:$D$39,3,0)*VLOOKUP(B7,MODULY_CBA!$B$3:$J$23,9,0)/SUM(MODULY_CBA!$J$3:$J$23),)</f>
        <v>38.745000000000005</v>
      </c>
      <c r="G7" s="506">
        <f>IFERROR(IF(ISTEXT(B7),VLOOKUP(C7,POZICIE_INTERNE!$A$4:$D$39,4,0),),)</f>
        <v>303.67500000000001</v>
      </c>
      <c r="H7" s="507">
        <f>IF(ISTEXT(B7),VLOOKUP(C7,AKTIVITY_POZICIE!$A$4:$E$39,5,0),)</f>
        <v>731.8048048048048</v>
      </c>
      <c r="I7" s="501">
        <f t="shared" si="0"/>
        <v>11765.887875000002</v>
      </c>
      <c r="J7" s="501">
        <f t="shared" si="1"/>
        <v>98694.85500000001</v>
      </c>
      <c r="K7" s="501">
        <f t="shared" si="2"/>
        <v>110460.74287500001</v>
      </c>
      <c r="L7" s="559"/>
    </row>
    <row r="8" spans="1:12" ht="15" customHeight="1">
      <c r="A8" s="816"/>
      <c r="B8" s="558" t="s">
        <v>796</v>
      </c>
      <c r="C8" s="437" t="s">
        <v>263</v>
      </c>
      <c r="D8" s="558"/>
      <c r="E8" s="641">
        <f>0.0675*AKTIVITY_POZICIE!$D$28</f>
        <v>32.0625</v>
      </c>
      <c r="F8" s="500">
        <f>IFERROR(VLOOKUP(C8,POZICIE_INTERNE!$A$4:$D$39,3,0)*VLOOKUP(B8,MODULY_CBA!$B$3:$J$23,9,0)/SUM(MODULY_CBA!$J$3:$J$23),)</f>
        <v>19.819350000000004</v>
      </c>
      <c r="G8" s="506">
        <f>IFERROR(IF(ISTEXT(B8),VLOOKUP(C8,POZICIE_INTERNE!$A$4:$D$39,4,0),),)</f>
        <v>303.67500000000001</v>
      </c>
      <c r="H8" s="507">
        <f>IF(ISTEXT(B8),VLOOKUP(C8,AKTIVITY_POZICIE!$A$4:$E$39,5,0),)</f>
        <v>695.57894736842104</v>
      </c>
      <c r="I8" s="501">
        <f t="shared" si="0"/>
        <v>6018.6411112500009</v>
      </c>
      <c r="J8" s="501">
        <f t="shared" si="1"/>
        <v>26762.399999999998</v>
      </c>
      <c r="K8" s="501">
        <f t="shared" si="2"/>
        <v>32781.041111250001</v>
      </c>
      <c r="L8" s="559"/>
    </row>
    <row r="9" spans="1:12" ht="15" customHeight="1">
      <c r="A9" s="816" t="s">
        <v>274</v>
      </c>
      <c r="B9" s="558" t="s">
        <v>1102</v>
      </c>
      <c r="C9" s="437" t="s">
        <v>262</v>
      </c>
      <c r="D9" s="558"/>
      <c r="E9" s="641">
        <f>0.0675*AKTIVITY_POZICIE!$D$4</f>
        <v>96.1875</v>
      </c>
      <c r="F9" s="500">
        <f>IFERROR(VLOOKUP(C9,POZICIE_INTERNE!$A$4:$D$39,3,0)*VLOOKUP(B9,MODULY_CBA!$B$3:$J$23,9,0)/SUM(MODULY_CBA!$J$3:$J$23),)</f>
        <v>43.875000000000014</v>
      </c>
      <c r="G9" s="506">
        <f>IFERROR(IF(ISTEXT(B9),VLOOKUP(C9,POZICIE_INTERNE!$A$4:$D$39,4,0),),)</f>
        <v>304</v>
      </c>
      <c r="H9" s="507">
        <f>IF(ISTEXT(B9),VLOOKUP(C9,AKTIVITY_POZICIE!$A$4:$E$39,5,0),)</f>
        <v>675.87368421052633</v>
      </c>
      <c r="I9" s="501">
        <f t="shared" si="0"/>
        <v>13338.000000000004</v>
      </c>
      <c r="J9" s="501">
        <f t="shared" si="1"/>
        <v>78012.72</v>
      </c>
      <c r="K9" s="501">
        <f t="shared" si="2"/>
        <v>91350.720000000001</v>
      </c>
      <c r="L9" s="559"/>
    </row>
    <row r="10" spans="1:12" ht="15" customHeight="1">
      <c r="A10" s="816"/>
      <c r="B10" s="558" t="s">
        <v>1102</v>
      </c>
      <c r="C10" s="437" t="s">
        <v>541</v>
      </c>
      <c r="D10" s="558"/>
      <c r="E10" s="641">
        <f>0.0675*AKTIVITY_POZICIE!$D$16</f>
        <v>112.3875</v>
      </c>
      <c r="F10" s="500">
        <f>IFERROR(VLOOKUP(C10,POZICIE_INTERNE!$A$4:$D$39,3,0)*VLOOKUP(B10,MODULY_CBA!$B$3:$J$23,9,0)/SUM(MODULY_CBA!$J$3:$J$23),)</f>
        <v>38.745000000000005</v>
      </c>
      <c r="G10" s="506">
        <f>IFERROR(IF(ISTEXT(B10),VLOOKUP(C10,POZICIE_INTERNE!$A$4:$D$39,4,0),),)</f>
        <v>303.67500000000001</v>
      </c>
      <c r="H10" s="507">
        <f>IF(ISTEXT(B10),VLOOKUP(C10,AKTIVITY_POZICIE!$A$4:$E$39,5,0),)</f>
        <v>731.8048048048048</v>
      </c>
      <c r="I10" s="501">
        <f t="shared" si="0"/>
        <v>11765.887875000002</v>
      </c>
      <c r="J10" s="501">
        <f t="shared" si="1"/>
        <v>98694.85500000001</v>
      </c>
      <c r="K10" s="501">
        <f t="shared" si="2"/>
        <v>110460.74287500001</v>
      </c>
      <c r="L10" s="559"/>
    </row>
    <row r="11" spans="1:12" ht="15" customHeight="1">
      <c r="A11" s="816"/>
      <c r="B11" s="558" t="s">
        <v>1102</v>
      </c>
      <c r="C11" s="437" t="s">
        <v>263</v>
      </c>
      <c r="D11" s="558"/>
      <c r="E11" s="641">
        <f>0.0675*AKTIVITY_POZICIE!$D$28</f>
        <v>32.0625</v>
      </c>
      <c r="F11" s="500">
        <f>IFERROR(VLOOKUP(C11,POZICIE_INTERNE!$A$4:$D$39,3,0)*VLOOKUP(B11,MODULY_CBA!$B$3:$J$23,9,0)/SUM(MODULY_CBA!$J$3:$J$23),)</f>
        <v>19.819350000000004</v>
      </c>
      <c r="G11" s="506">
        <f>IFERROR(IF(ISTEXT(B11),VLOOKUP(C11,POZICIE_INTERNE!$A$4:$D$39,4,0),),)</f>
        <v>303.67500000000001</v>
      </c>
      <c r="H11" s="507">
        <f>IF(ISTEXT(B11),VLOOKUP(C11,AKTIVITY_POZICIE!$A$4:$E$39,5,0),)</f>
        <v>695.57894736842104</v>
      </c>
      <c r="I11" s="501">
        <f t="shared" si="0"/>
        <v>6018.6411112500009</v>
      </c>
      <c r="J11" s="501">
        <f t="shared" si="1"/>
        <v>26762.399999999998</v>
      </c>
      <c r="K11" s="501">
        <f t="shared" si="2"/>
        <v>32781.041111250001</v>
      </c>
      <c r="L11" s="559"/>
    </row>
    <row r="12" spans="1:12" ht="15" customHeight="1">
      <c r="A12" s="816" t="s">
        <v>275</v>
      </c>
      <c r="B12" s="558" t="s">
        <v>797</v>
      </c>
      <c r="C12" s="437" t="s">
        <v>262</v>
      </c>
      <c r="D12" s="558"/>
      <c r="E12" s="641">
        <f>0.03*AKTIVITY_POZICIE!$D$4</f>
        <v>42.75</v>
      </c>
      <c r="F12" s="500">
        <f>IFERROR(VLOOKUP(C12,POZICIE_INTERNE!$A$4:$D$39,3,0)*VLOOKUP(B12,MODULY_CBA!$B$3:$J$23,9,0)/SUM(MODULY_CBA!$J$3:$J$23),)</f>
        <v>19.5</v>
      </c>
      <c r="G12" s="506">
        <f>IFERROR(IF(ISTEXT(B12),VLOOKUP(C12,POZICIE_INTERNE!$A$4:$D$39,4,0),),)</f>
        <v>304</v>
      </c>
      <c r="H12" s="507">
        <f>IF(ISTEXT(B12),VLOOKUP(C12,AKTIVITY_POZICIE!$A$4:$E$39,5,0),)</f>
        <v>675.87368421052633</v>
      </c>
      <c r="I12" s="501">
        <f t="shared" si="0"/>
        <v>5928</v>
      </c>
      <c r="J12" s="501">
        <f t="shared" si="1"/>
        <v>34672.32</v>
      </c>
      <c r="K12" s="501">
        <f t="shared" si="2"/>
        <v>40600.32</v>
      </c>
      <c r="L12" s="559"/>
    </row>
    <row r="13" spans="1:12" ht="15" customHeight="1">
      <c r="A13" s="816"/>
      <c r="B13" s="558" t="s">
        <v>797</v>
      </c>
      <c r="C13" s="437" t="s">
        <v>541</v>
      </c>
      <c r="D13" s="558"/>
      <c r="E13" s="641">
        <f>0.03*AKTIVITY_POZICIE!$D$16</f>
        <v>49.949999999999996</v>
      </c>
      <c r="F13" s="500">
        <f>IFERROR(VLOOKUP(C13,POZICIE_INTERNE!$A$4:$D$39,3,0)*VLOOKUP(B13,MODULY_CBA!$B$3:$J$23,9,0)/SUM(MODULY_CBA!$J$3:$J$23),)</f>
        <v>17.220000000000002</v>
      </c>
      <c r="G13" s="506">
        <f>IFERROR(IF(ISTEXT(B13),VLOOKUP(C13,POZICIE_INTERNE!$A$4:$D$39,4,0),),)</f>
        <v>303.67500000000001</v>
      </c>
      <c r="H13" s="507">
        <f>IF(ISTEXT(B13),VLOOKUP(C13,AKTIVITY_POZICIE!$A$4:$E$39,5,0),)</f>
        <v>731.8048048048048</v>
      </c>
      <c r="I13" s="501">
        <f t="shared" si="0"/>
        <v>5229.2835000000014</v>
      </c>
      <c r="J13" s="501">
        <f t="shared" si="1"/>
        <v>43864.37999999999</v>
      </c>
      <c r="K13" s="501">
        <f t="shared" si="2"/>
        <v>49093.663499999995</v>
      </c>
      <c r="L13" s="559"/>
    </row>
    <row r="14" spans="1:12" ht="15" customHeight="1">
      <c r="A14" s="817"/>
      <c r="B14" s="558" t="s">
        <v>797</v>
      </c>
      <c r="C14" s="437" t="s">
        <v>263</v>
      </c>
      <c r="D14" s="558"/>
      <c r="E14" s="641">
        <f>0.03*AKTIVITY_POZICIE!$D$28</f>
        <v>14.25</v>
      </c>
      <c r="F14" s="500">
        <f>IFERROR(VLOOKUP(C14,POZICIE_INTERNE!$A$4:$D$39,3,0)*VLOOKUP(B14,MODULY_CBA!$B$3:$J$23,9,0)/SUM(MODULY_CBA!$J$3:$J$23),)</f>
        <v>8.808600000000002</v>
      </c>
      <c r="G14" s="506">
        <f>IFERROR(IF(ISTEXT(B14),VLOOKUP(C14,POZICIE_INTERNE!$A$4:$D$39,4,0),),)</f>
        <v>303.67500000000001</v>
      </c>
      <c r="H14" s="507">
        <f>IF(ISTEXT(B14),VLOOKUP(C14,AKTIVITY_POZICIE!$A$4:$E$39,5,0),)</f>
        <v>695.57894736842104</v>
      </c>
      <c r="I14" s="501">
        <f t="shared" si="0"/>
        <v>2674.9516050000007</v>
      </c>
      <c r="J14" s="501">
        <f>E14*H14*1.2</f>
        <v>11894.4</v>
      </c>
      <c r="K14" s="501">
        <f t="shared" si="2"/>
        <v>14569.351605</v>
      </c>
      <c r="L14" s="559"/>
    </row>
    <row r="15" spans="1:12" ht="15" customHeight="1">
      <c r="A15" s="818" t="s">
        <v>276</v>
      </c>
      <c r="B15" s="558"/>
      <c r="C15" s="437" t="s">
        <v>262</v>
      </c>
      <c r="D15" s="558"/>
      <c r="E15" s="641">
        <f>IFERROR(VLOOKUP(B15,MODULY_CBA!$B$3:$O$23,14,0)*VLOOKUP('Rozpocet - Vyvoj aplikacii'!C15,AKTIVITY_POZICIE!$A$4:$C$39,3,0),0)</f>
        <v>0</v>
      </c>
      <c r="F15" s="500">
        <f>IFERROR(VLOOKUP(C15,POZICIE_INTERNE!$A$4:$D$39,3,0)*VLOOKUP(B15,MODULY_CBA!$B$3:$J$23,9,0)/SUM(MODULY_CBA!$J$3:$J$23),)</f>
        <v>0</v>
      </c>
      <c r="G15" s="506">
        <f>IFERROR(IF(ISTEXT(B15),VLOOKUP(C15,POZICIE_INTERNE!$A$4:$D$39,4,0),),)</f>
        <v>0</v>
      </c>
      <c r="H15" s="507">
        <f>IF(ISTEXT(B15),VLOOKUP(C15,AKTIVITY_POZICIE!$A$4:$E$39,5,0),)</f>
        <v>0</v>
      </c>
      <c r="I15" s="501">
        <f t="shared" si="0"/>
        <v>0</v>
      </c>
      <c r="J15" s="501">
        <f t="shared" si="1"/>
        <v>0</v>
      </c>
      <c r="K15" s="501">
        <f t="shared" si="2"/>
        <v>0</v>
      </c>
      <c r="L15" s="559"/>
    </row>
    <row r="16" spans="1:12" ht="15" customHeight="1">
      <c r="A16" s="816"/>
      <c r="B16" s="558"/>
      <c r="C16" s="437" t="s">
        <v>541</v>
      </c>
      <c r="D16" s="558"/>
      <c r="E16" s="641">
        <f>IFERROR(VLOOKUP(B16,MODULY_CBA!$B$3:$O$23,14,0)*VLOOKUP('Rozpocet - Vyvoj aplikacii'!C16,AKTIVITY_POZICIE!$A$4:$C$39,3,0),0)</f>
        <v>0</v>
      </c>
      <c r="F16" s="500">
        <f>IFERROR(VLOOKUP(C16,POZICIE_INTERNE!$A$4:$D$39,3,0)*VLOOKUP(B16,MODULY_CBA!$B$3:$J$23,9,0)/SUM(MODULY_CBA!$J$3:$J$23),)</f>
        <v>0</v>
      </c>
      <c r="G16" s="506">
        <f>IFERROR(IF(ISTEXT(B16),VLOOKUP(C16,POZICIE_INTERNE!$A$4:$D$39,4,0),),)</f>
        <v>0</v>
      </c>
      <c r="H16" s="507">
        <f>IF(ISTEXT(B16),VLOOKUP(C16,AKTIVITY_POZICIE!$A$4:$E$39,5,0),)</f>
        <v>0</v>
      </c>
      <c r="I16" s="501">
        <f t="shared" si="0"/>
        <v>0</v>
      </c>
      <c r="J16" s="501">
        <f t="shared" si="1"/>
        <v>0</v>
      </c>
      <c r="K16" s="501">
        <f t="shared" si="2"/>
        <v>0</v>
      </c>
      <c r="L16" s="559"/>
    </row>
    <row r="17" spans="1:12" ht="15" customHeight="1">
      <c r="A17" s="816"/>
      <c r="B17" s="558"/>
      <c r="C17" s="437" t="s">
        <v>263</v>
      </c>
      <c r="D17" s="558"/>
      <c r="E17" s="641">
        <f>IFERROR(VLOOKUP(B17,MODULY_CBA!$B$3:$O$23,14,0)*VLOOKUP('Rozpocet - Vyvoj aplikacii'!C17,AKTIVITY_POZICIE!$A$4:$C$39,3,0),0)</f>
        <v>0</v>
      </c>
      <c r="F17" s="500">
        <f>IFERROR(VLOOKUP(C17,POZICIE_INTERNE!$A$4:$D$39,3,0)*VLOOKUP(B17,MODULY_CBA!$B$3:$J$23,9,0)/SUM(MODULY_CBA!$J$3:$J$23),)</f>
        <v>0</v>
      </c>
      <c r="G17" s="506">
        <f>IFERROR(IF(ISTEXT(B17),VLOOKUP(C17,POZICIE_INTERNE!$A$4:$D$39,4,0),),)</f>
        <v>0</v>
      </c>
      <c r="H17" s="507">
        <f>IF(ISTEXT(B17),VLOOKUP(C17,AKTIVITY_POZICIE!$A$4:$E$39,5,0),)</f>
        <v>0</v>
      </c>
      <c r="I17" s="501">
        <f t="shared" si="0"/>
        <v>0</v>
      </c>
      <c r="J17" s="501">
        <f t="shared" si="1"/>
        <v>0</v>
      </c>
      <c r="K17" s="501">
        <f t="shared" si="2"/>
        <v>0</v>
      </c>
      <c r="L17" s="559"/>
    </row>
    <row r="18" spans="1:12" ht="15" customHeight="1">
      <c r="A18" s="816" t="s">
        <v>277</v>
      </c>
      <c r="B18" s="558"/>
      <c r="C18" s="437" t="s">
        <v>262</v>
      </c>
      <c r="D18" s="558"/>
      <c r="E18" s="641">
        <f>IFERROR(VLOOKUP(B18,MODULY_CBA!$B$3:$O$23,14,0)*VLOOKUP('Rozpocet - Vyvoj aplikacii'!C18,AKTIVITY_POZICIE!$A$4:$C$39,3,0),0)</f>
        <v>0</v>
      </c>
      <c r="F18" s="500">
        <f>IFERROR(VLOOKUP(C18,POZICIE_INTERNE!$A$4:$D$39,3,0)*VLOOKUP(B18,MODULY_CBA!$B$3:$J$23,9,0)/SUM(MODULY_CBA!$J$3:$J$23),)</f>
        <v>0</v>
      </c>
      <c r="G18" s="506">
        <f>IFERROR(IF(ISTEXT(B18),VLOOKUP(C18,POZICIE_INTERNE!$A$4:$D$39,4,0),),)</f>
        <v>0</v>
      </c>
      <c r="H18" s="507">
        <f>IF(ISTEXT(B18),VLOOKUP(C18,AKTIVITY_POZICIE!$A$4:$E$39,5,0),)</f>
        <v>0</v>
      </c>
      <c r="I18" s="501">
        <f t="shared" si="0"/>
        <v>0</v>
      </c>
      <c r="J18" s="501">
        <f t="shared" si="1"/>
        <v>0</v>
      </c>
      <c r="K18" s="501">
        <f t="shared" si="2"/>
        <v>0</v>
      </c>
      <c r="L18" s="559"/>
    </row>
    <row r="19" spans="1:12" ht="15" customHeight="1">
      <c r="A19" s="816"/>
      <c r="B19" s="558"/>
      <c r="C19" s="437" t="s">
        <v>541</v>
      </c>
      <c r="D19" s="558"/>
      <c r="E19" s="641">
        <f>IFERROR(VLOOKUP(B19,MODULY_CBA!$B$3:$O$23,14,0)*VLOOKUP('Rozpocet - Vyvoj aplikacii'!C19,AKTIVITY_POZICIE!$A$4:$C$39,3,0),0)</f>
        <v>0</v>
      </c>
      <c r="F19" s="500">
        <f>IFERROR(VLOOKUP(C19,POZICIE_INTERNE!$A$4:$D$39,3,0)*VLOOKUP(B19,MODULY_CBA!$B$3:$J$23,9,0)/SUM(MODULY_CBA!$J$3:$J$23),)</f>
        <v>0</v>
      </c>
      <c r="G19" s="506">
        <f>IFERROR(IF(ISTEXT(B19),VLOOKUP(C19,POZICIE_INTERNE!$A$4:$D$39,4,0),),)</f>
        <v>0</v>
      </c>
      <c r="H19" s="507">
        <f>IF(ISTEXT(B19),VLOOKUP(C19,AKTIVITY_POZICIE!$A$4:$E$39,5,0),)</f>
        <v>0</v>
      </c>
      <c r="I19" s="501">
        <f t="shared" si="0"/>
        <v>0</v>
      </c>
      <c r="J19" s="501">
        <f t="shared" si="1"/>
        <v>0</v>
      </c>
      <c r="K19" s="501">
        <f t="shared" si="2"/>
        <v>0</v>
      </c>
      <c r="L19" s="559"/>
    </row>
    <row r="20" spans="1:12" ht="15" customHeight="1">
      <c r="A20" s="816"/>
      <c r="B20" s="558"/>
      <c r="C20" s="437" t="s">
        <v>263</v>
      </c>
      <c r="D20" s="558"/>
      <c r="E20" s="641">
        <f>IFERROR(VLOOKUP(B20,MODULY_CBA!$B$3:$O$23,14,0)*VLOOKUP('Rozpocet - Vyvoj aplikacii'!C20,AKTIVITY_POZICIE!$A$4:$C$39,3,0),0)</f>
        <v>0</v>
      </c>
      <c r="F20" s="500">
        <f>IFERROR(VLOOKUP(C20,POZICIE_INTERNE!$A$4:$D$39,3,0)*VLOOKUP(B20,MODULY_CBA!$B$3:$J$23,9,0)/SUM(MODULY_CBA!$J$3:$J$23),)</f>
        <v>0</v>
      </c>
      <c r="G20" s="506">
        <f>IFERROR(IF(ISTEXT(B20),VLOOKUP(C20,POZICIE_INTERNE!$A$4:$D$39,4,0),),)</f>
        <v>0</v>
      </c>
      <c r="H20" s="507">
        <f>IF(ISTEXT(B20),VLOOKUP(C20,AKTIVITY_POZICIE!$A$4:$E$39,5,0),)</f>
        <v>0</v>
      </c>
      <c r="I20" s="501">
        <f t="shared" si="0"/>
        <v>0</v>
      </c>
      <c r="J20" s="501">
        <f t="shared" si="1"/>
        <v>0</v>
      </c>
      <c r="K20" s="501">
        <f t="shared" si="2"/>
        <v>0</v>
      </c>
      <c r="L20" s="559"/>
    </row>
    <row r="21" spans="1:12" ht="15" customHeight="1">
      <c r="A21" s="816" t="s">
        <v>278</v>
      </c>
      <c r="B21" s="558"/>
      <c r="C21" s="437" t="s">
        <v>262</v>
      </c>
      <c r="D21" s="558"/>
      <c r="E21" s="641">
        <f>IFERROR(VLOOKUP(B21,MODULY_CBA!$B$3:$O$23,14,0)*VLOOKUP('Rozpocet - Vyvoj aplikacii'!C21,AKTIVITY_POZICIE!$A$4:$C$39,3,0),0)</f>
        <v>0</v>
      </c>
      <c r="F21" s="500">
        <f>IFERROR(VLOOKUP(C21,POZICIE_INTERNE!$A$4:$D$39,3,0)*VLOOKUP(B21,MODULY_CBA!$B$3:$J$23,9,0)/SUM(MODULY_CBA!$J$3:$J$23),)</f>
        <v>0</v>
      </c>
      <c r="G21" s="506">
        <f>IFERROR(IF(ISTEXT(B21),VLOOKUP(C21,POZICIE_INTERNE!$A$4:$D$39,4,0),),)</f>
        <v>0</v>
      </c>
      <c r="H21" s="507">
        <f>IF(ISTEXT(B21),VLOOKUP(C21,AKTIVITY_POZICIE!$A$4:$E$39,5,0),)</f>
        <v>0</v>
      </c>
      <c r="I21" s="501">
        <f t="shared" si="0"/>
        <v>0</v>
      </c>
      <c r="J21" s="501">
        <f t="shared" si="1"/>
        <v>0</v>
      </c>
      <c r="K21" s="501">
        <f t="shared" si="2"/>
        <v>0</v>
      </c>
      <c r="L21" s="559"/>
    </row>
    <row r="22" spans="1:12" ht="15" customHeight="1">
      <c r="A22" s="816"/>
      <c r="B22" s="558"/>
      <c r="C22" s="437" t="s">
        <v>541</v>
      </c>
      <c r="D22" s="558"/>
      <c r="E22" s="641">
        <f>IFERROR(VLOOKUP(B22,MODULY_CBA!$B$3:$O$23,14,0)*VLOOKUP('Rozpocet - Vyvoj aplikacii'!C22,AKTIVITY_POZICIE!$A$4:$C$39,3,0),0)</f>
        <v>0</v>
      </c>
      <c r="F22" s="500">
        <f>IFERROR(VLOOKUP(C22,POZICIE_INTERNE!$A$4:$D$39,3,0)*VLOOKUP(B22,MODULY_CBA!$B$3:$J$23,9,0)/SUM(MODULY_CBA!$J$3:$J$23),)</f>
        <v>0</v>
      </c>
      <c r="G22" s="506">
        <f>IFERROR(IF(ISTEXT(B22),VLOOKUP(C22,POZICIE_INTERNE!$A$4:$D$39,4,0),),)</f>
        <v>0</v>
      </c>
      <c r="H22" s="507">
        <f>IF(ISTEXT(B22),VLOOKUP(C22,AKTIVITY_POZICIE!$A$4:$E$39,5,0),)</f>
        <v>0</v>
      </c>
      <c r="I22" s="501">
        <f t="shared" si="0"/>
        <v>0</v>
      </c>
      <c r="J22" s="501">
        <f t="shared" si="1"/>
        <v>0</v>
      </c>
      <c r="K22" s="501">
        <f t="shared" si="2"/>
        <v>0</v>
      </c>
      <c r="L22" s="559"/>
    </row>
    <row r="23" spans="1:12">
      <c r="A23" s="816"/>
      <c r="B23" s="558"/>
      <c r="C23" s="437" t="s">
        <v>263</v>
      </c>
      <c r="D23" s="558"/>
      <c r="E23" s="641">
        <f>IFERROR(VLOOKUP(B23,MODULY_CBA!$B$3:$O$23,14,0)*VLOOKUP('Rozpocet - Vyvoj aplikacii'!C23,AKTIVITY_POZICIE!$A$4:$C$39,3,0),0)</f>
        <v>0</v>
      </c>
      <c r="F23" s="500">
        <f>IFERROR(VLOOKUP(C23,POZICIE_INTERNE!$A$4:$D$39,3,0)*VLOOKUP(B23,MODULY_CBA!$B$3:$J$23,9,0)/SUM(MODULY_CBA!$J$3:$J$23),)</f>
        <v>0</v>
      </c>
      <c r="G23" s="506">
        <f>IFERROR(IF(ISTEXT(B23),VLOOKUP(C23,POZICIE_INTERNE!$A$4:$D$39,4,0),),)</f>
        <v>0</v>
      </c>
      <c r="H23" s="507">
        <f>IF(ISTEXT(B23),VLOOKUP(C23,AKTIVITY_POZICIE!$A$4:$E$39,5,0),)</f>
        <v>0</v>
      </c>
      <c r="I23" s="501">
        <f t="shared" si="0"/>
        <v>0</v>
      </c>
      <c r="J23" s="501">
        <f t="shared" si="1"/>
        <v>0</v>
      </c>
      <c r="K23" s="501">
        <f t="shared" ref="K23:K65" si="3">J23+I23</f>
        <v>0</v>
      </c>
      <c r="L23" s="559"/>
    </row>
    <row r="24" spans="1:12">
      <c r="A24" s="816" t="s">
        <v>279</v>
      </c>
      <c r="B24" s="558"/>
      <c r="C24" s="437" t="s">
        <v>262</v>
      </c>
      <c r="D24" s="558"/>
      <c r="E24" s="641">
        <f>IFERROR(VLOOKUP(B24,MODULY_CBA!$B$3:$O$23,14,0)*VLOOKUP('Rozpocet - Vyvoj aplikacii'!C24,AKTIVITY_POZICIE!$A$4:$C$39,3,0),0)</f>
        <v>0</v>
      </c>
      <c r="F24" s="500">
        <f>IFERROR(VLOOKUP(C24,POZICIE_INTERNE!$A$4:$D$39,3,0)*VLOOKUP(B24,MODULY_CBA!$B$3:$J$23,9,0)/SUM(MODULY_CBA!$J$3:$J$23),)</f>
        <v>0</v>
      </c>
      <c r="G24" s="506">
        <f>IFERROR(IF(ISTEXT(B24),VLOOKUP(C24,POZICIE_INTERNE!$A$4:$D$39,4,0),),)</f>
        <v>0</v>
      </c>
      <c r="H24" s="507">
        <f>IF(ISTEXT(B24),VLOOKUP(C24,AKTIVITY_POZICIE!$A$4:$E$39,5,0),)</f>
        <v>0</v>
      </c>
      <c r="I24" s="501">
        <f t="shared" si="0"/>
        <v>0</v>
      </c>
      <c r="J24" s="501">
        <f t="shared" si="1"/>
        <v>0</v>
      </c>
      <c r="K24" s="501">
        <f t="shared" si="3"/>
        <v>0</v>
      </c>
      <c r="L24" s="559"/>
    </row>
    <row r="25" spans="1:12">
      <c r="A25" s="816"/>
      <c r="B25" s="558"/>
      <c r="C25" s="437" t="s">
        <v>541</v>
      </c>
      <c r="D25" s="558"/>
      <c r="E25" s="641">
        <f>IFERROR(VLOOKUP(B25,MODULY_CBA!$B$3:$O$23,14,0)*VLOOKUP('Rozpocet - Vyvoj aplikacii'!C25,AKTIVITY_POZICIE!$A$4:$C$39,3,0),0)</f>
        <v>0</v>
      </c>
      <c r="F25" s="500">
        <f>IFERROR(VLOOKUP(C25,POZICIE_INTERNE!$A$4:$D$39,3,0)*VLOOKUP(B25,MODULY_CBA!$B$3:$J$23,9,0)/SUM(MODULY_CBA!$J$3:$J$23),)</f>
        <v>0</v>
      </c>
      <c r="G25" s="506">
        <f>IFERROR(IF(ISTEXT(B25),VLOOKUP(C25,POZICIE_INTERNE!$A$4:$D$39,4,0),),)</f>
        <v>0</v>
      </c>
      <c r="H25" s="507">
        <f>IF(ISTEXT(B25),VLOOKUP(C25,AKTIVITY_POZICIE!$A$4:$E$39,5,0),)</f>
        <v>0</v>
      </c>
      <c r="I25" s="501">
        <f t="shared" si="0"/>
        <v>0</v>
      </c>
      <c r="J25" s="501">
        <f t="shared" si="1"/>
        <v>0</v>
      </c>
      <c r="K25" s="501">
        <f t="shared" si="3"/>
        <v>0</v>
      </c>
      <c r="L25" s="559"/>
    </row>
    <row r="26" spans="1:12">
      <c r="A26" s="817"/>
      <c r="B26" s="558"/>
      <c r="C26" s="437" t="s">
        <v>263</v>
      </c>
      <c r="D26" s="558"/>
      <c r="E26" s="641">
        <f>IFERROR(VLOOKUP(B26,MODULY_CBA!$B$3:$O$23,14,0)*VLOOKUP('Rozpocet - Vyvoj aplikacii'!C26,AKTIVITY_POZICIE!$A$4:$C$39,3,0),0)</f>
        <v>0</v>
      </c>
      <c r="F26" s="500">
        <f>IFERROR(VLOOKUP(C26,POZICIE_INTERNE!$A$4:$D$39,3,0)*VLOOKUP(B26,MODULY_CBA!$B$3:$J$23,9,0)/SUM(MODULY_CBA!$J$3:$J$23),)</f>
        <v>0</v>
      </c>
      <c r="G26" s="506">
        <f>IFERROR(IF(ISTEXT(B26),VLOOKUP(C26,POZICIE_INTERNE!$A$4:$D$39,4,0),),)</f>
        <v>0</v>
      </c>
      <c r="H26" s="507">
        <f>IF(ISTEXT(B26),VLOOKUP(C26,AKTIVITY_POZICIE!$A$4:$E$39,5,0),)</f>
        <v>0</v>
      </c>
      <c r="I26" s="501">
        <f t="shared" si="0"/>
        <v>0</v>
      </c>
      <c r="J26" s="501">
        <f t="shared" si="1"/>
        <v>0</v>
      </c>
      <c r="K26" s="501">
        <f t="shared" si="3"/>
        <v>0</v>
      </c>
      <c r="L26" s="559"/>
    </row>
    <row r="27" spans="1:12">
      <c r="A27" s="818" t="s">
        <v>280</v>
      </c>
      <c r="B27" s="558"/>
      <c r="C27" s="437" t="s">
        <v>262</v>
      </c>
      <c r="D27" s="558"/>
      <c r="E27" s="641">
        <f>IFERROR(VLOOKUP(B27,MODULY_CBA!$B$3:$O$23,14,0)*VLOOKUP('Rozpocet - Vyvoj aplikacii'!C27,AKTIVITY_POZICIE!$A$4:$C$39,3,0),0)</f>
        <v>0</v>
      </c>
      <c r="F27" s="500">
        <f>IFERROR(VLOOKUP(C27,POZICIE_INTERNE!$A$4:$D$39,3,0)*VLOOKUP(B27,MODULY_CBA!$B$3:$J$23,9,0)/SUM(MODULY_CBA!$J$3:$J$23),)</f>
        <v>0</v>
      </c>
      <c r="G27" s="506">
        <f>IFERROR(IF(ISTEXT(B27),VLOOKUP(C27,POZICIE_INTERNE!$A$4:$D$39,4,0),),)</f>
        <v>0</v>
      </c>
      <c r="H27" s="507">
        <f>IF(ISTEXT(B27),VLOOKUP(C27,AKTIVITY_POZICIE!$A$4:$E$39,5,0),)</f>
        <v>0</v>
      </c>
      <c r="I27" s="501">
        <f t="shared" si="0"/>
        <v>0</v>
      </c>
      <c r="J27" s="501">
        <f t="shared" si="1"/>
        <v>0</v>
      </c>
      <c r="K27" s="501">
        <f t="shared" si="3"/>
        <v>0</v>
      </c>
      <c r="L27" s="559"/>
    </row>
    <row r="28" spans="1:12">
      <c r="A28" s="816"/>
      <c r="B28" s="558"/>
      <c r="C28" s="437" t="s">
        <v>541</v>
      </c>
      <c r="D28" s="558"/>
      <c r="E28" s="641">
        <f>IFERROR(VLOOKUP(B28,MODULY_CBA!$B$3:$O$23,14,0)*VLOOKUP('Rozpocet - Vyvoj aplikacii'!C28,AKTIVITY_POZICIE!$A$4:$C$39,3,0),0)</f>
        <v>0</v>
      </c>
      <c r="F28" s="500">
        <f>IFERROR(VLOOKUP(C28,POZICIE_INTERNE!$A$4:$D$39,3,0)*VLOOKUP(B28,MODULY_CBA!$B$3:$J$23,9,0)/SUM(MODULY_CBA!$J$3:$J$23),)</f>
        <v>0</v>
      </c>
      <c r="G28" s="506">
        <f>IFERROR(IF(ISTEXT(B28),VLOOKUP(C28,POZICIE_INTERNE!$A$4:$D$39,4,0),),)</f>
        <v>0</v>
      </c>
      <c r="H28" s="507">
        <f>IF(ISTEXT(B28),VLOOKUP(C28,AKTIVITY_POZICIE!$A$4:$E$39,5,0),)</f>
        <v>0</v>
      </c>
      <c r="I28" s="501">
        <f t="shared" si="0"/>
        <v>0</v>
      </c>
      <c r="J28" s="501">
        <f t="shared" si="1"/>
        <v>0</v>
      </c>
      <c r="K28" s="501">
        <f t="shared" si="3"/>
        <v>0</v>
      </c>
      <c r="L28" s="559"/>
    </row>
    <row r="29" spans="1:12">
      <c r="A29" s="816"/>
      <c r="B29" s="558"/>
      <c r="C29" s="437" t="s">
        <v>263</v>
      </c>
      <c r="D29" s="558"/>
      <c r="E29" s="641">
        <f>IFERROR(VLOOKUP(B29,MODULY_CBA!$B$3:$O$23,14,0)*VLOOKUP('Rozpocet - Vyvoj aplikacii'!C29,AKTIVITY_POZICIE!$A$4:$C$39,3,0),0)</f>
        <v>0</v>
      </c>
      <c r="F29" s="500">
        <f>IFERROR(VLOOKUP(C29,POZICIE_INTERNE!$A$4:$D$39,3,0)*VLOOKUP(B29,MODULY_CBA!$B$3:$J$23,9,0)/SUM(MODULY_CBA!$J$3:$J$23),)</f>
        <v>0</v>
      </c>
      <c r="G29" s="506">
        <f>IFERROR(IF(ISTEXT(B29),VLOOKUP(C29,POZICIE_INTERNE!$A$4:$D$39,4,0),),)</f>
        <v>0</v>
      </c>
      <c r="H29" s="507">
        <f>IF(ISTEXT(B29),VLOOKUP(C29,AKTIVITY_POZICIE!$A$4:$E$39,5,0),)</f>
        <v>0</v>
      </c>
      <c r="I29" s="501">
        <f t="shared" si="0"/>
        <v>0</v>
      </c>
      <c r="J29" s="501">
        <f t="shared" si="1"/>
        <v>0</v>
      </c>
      <c r="K29" s="501">
        <f t="shared" si="3"/>
        <v>0</v>
      </c>
      <c r="L29" s="559"/>
    </row>
    <row r="30" spans="1:12">
      <c r="A30" s="816" t="s">
        <v>281</v>
      </c>
      <c r="B30" s="558"/>
      <c r="C30" s="437" t="s">
        <v>262</v>
      </c>
      <c r="D30" s="558"/>
      <c r="E30" s="641">
        <f>IFERROR(VLOOKUP(B30,MODULY_CBA!$B$3:$O$23,14,0)*VLOOKUP('Rozpocet - Vyvoj aplikacii'!C30,AKTIVITY_POZICIE!$A$4:$C$39,3,0),0)</f>
        <v>0</v>
      </c>
      <c r="F30" s="500">
        <f>IFERROR(VLOOKUP(C30,POZICIE_INTERNE!$A$4:$D$39,3,0)*VLOOKUP(B30,MODULY_CBA!$B$3:$J$23,9,0)/SUM(MODULY_CBA!$J$3:$J$23),)</f>
        <v>0</v>
      </c>
      <c r="G30" s="506">
        <f>IFERROR(IF(ISTEXT(B30),VLOOKUP(C30,POZICIE_INTERNE!$A$4:$D$39,4,0),),)</f>
        <v>0</v>
      </c>
      <c r="H30" s="507">
        <f>IF(ISTEXT(B30),VLOOKUP(C30,AKTIVITY_POZICIE!$A$4:$E$39,5,0),)</f>
        <v>0</v>
      </c>
      <c r="I30" s="501">
        <f t="shared" si="0"/>
        <v>0</v>
      </c>
      <c r="J30" s="501">
        <f t="shared" si="1"/>
        <v>0</v>
      </c>
      <c r="K30" s="501">
        <f t="shared" si="3"/>
        <v>0</v>
      </c>
      <c r="L30" s="559"/>
    </row>
    <row r="31" spans="1:12">
      <c r="A31" s="816"/>
      <c r="B31" s="558"/>
      <c r="C31" s="437" t="s">
        <v>541</v>
      </c>
      <c r="D31" s="558"/>
      <c r="E31" s="641">
        <f>IFERROR(VLOOKUP(B31,MODULY_CBA!$B$3:$O$23,14,0)*VLOOKUP('Rozpocet - Vyvoj aplikacii'!C31,AKTIVITY_POZICIE!$A$4:$C$39,3,0),0)</f>
        <v>0</v>
      </c>
      <c r="F31" s="500">
        <f>IFERROR(VLOOKUP(C31,POZICIE_INTERNE!$A$4:$D$39,3,0)*VLOOKUP(B31,MODULY_CBA!$B$3:$J$23,9,0)/SUM(MODULY_CBA!$J$3:$J$23),)</f>
        <v>0</v>
      </c>
      <c r="G31" s="506">
        <f>IFERROR(IF(ISTEXT(B31),VLOOKUP(C31,POZICIE_INTERNE!$A$4:$D$39,4,0),),)</f>
        <v>0</v>
      </c>
      <c r="H31" s="507">
        <f>IF(ISTEXT(B31),VLOOKUP(C31,AKTIVITY_POZICIE!$A$4:$E$39,5,0),)</f>
        <v>0</v>
      </c>
      <c r="I31" s="501">
        <f t="shared" si="0"/>
        <v>0</v>
      </c>
      <c r="J31" s="501">
        <f t="shared" si="1"/>
        <v>0</v>
      </c>
      <c r="K31" s="501">
        <f t="shared" si="3"/>
        <v>0</v>
      </c>
      <c r="L31" s="559"/>
    </row>
    <row r="32" spans="1:12">
      <c r="A32" s="816"/>
      <c r="B32" s="558"/>
      <c r="C32" s="437" t="s">
        <v>263</v>
      </c>
      <c r="D32" s="558"/>
      <c r="E32" s="641">
        <f>IFERROR(VLOOKUP(B32,MODULY_CBA!$B$3:$O$23,14,0)*VLOOKUP('Rozpocet - Vyvoj aplikacii'!C32,AKTIVITY_POZICIE!$A$4:$C$39,3,0),0)</f>
        <v>0</v>
      </c>
      <c r="F32" s="500">
        <f>IFERROR(VLOOKUP(C32,POZICIE_INTERNE!$A$4:$D$39,3,0)*VLOOKUP(B32,MODULY_CBA!$B$3:$J$23,9,0)/SUM(MODULY_CBA!$J$3:$J$23),)</f>
        <v>0</v>
      </c>
      <c r="G32" s="506">
        <f>IFERROR(IF(ISTEXT(B32),VLOOKUP(C32,POZICIE_INTERNE!$A$4:$D$39,4,0),),)</f>
        <v>0</v>
      </c>
      <c r="H32" s="507">
        <f>IF(ISTEXT(B32),VLOOKUP(C32,AKTIVITY_POZICIE!$A$4:$E$39,5,0),)</f>
        <v>0</v>
      </c>
      <c r="I32" s="501">
        <f t="shared" si="0"/>
        <v>0</v>
      </c>
      <c r="J32" s="501">
        <f t="shared" si="1"/>
        <v>0</v>
      </c>
      <c r="K32" s="501">
        <f t="shared" si="3"/>
        <v>0</v>
      </c>
      <c r="L32" s="559"/>
    </row>
    <row r="33" spans="1:12">
      <c r="A33" s="816" t="s">
        <v>282</v>
      </c>
      <c r="B33" s="558"/>
      <c r="C33" s="437" t="s">
        <v>262</v>
      </c>
      <c r="D33" s="558"/>
      <c r="E33" s="641">
        <f>IFERROR(VLOOKUP(B33,MODULY_CBA!$B$3:$O$23,14,0)*VLOOKUP('Rozpocet - Vyvoj aplikacii'!C33,AKTIVITY_POZICIE!$A$4:$C$39,3,0),0)</f>
        <v>0</v>
      </c>
      <c r="F33" s="500">
        <f>IFERROR(VLOOKUP(C33,POZICIE_INTERNE!$A$4:$D$39,3,0)*VLOOKUP(B33,MODULY_CBA!$B$3:$J$23,9,0)/SUM(MODULY_CBA!$J$3:$J$23),)</f>
        <v>0</v>
      </c>
      <c r="G33" s="506">
        <f>IFERROR(IF(ISTEXT(B33),VLOOKUP(C33,POZICIE_INTERNE!$A$4:$D$39,4,0),),)</f>
        <v>0</v>
      </c>
      <c r="H33" s="507">
        <f>IF(ISTEXT(B33),VLOOKUP(C33,AKTIVITY_POZICIE!$A$4:$E$39,5,0),)</f>
        <v>0</v>
      </c>
      <c r="I33" s="501">
        <f t="shared" si="0"/>
        <v>0</v>
      </c>
      <c r="J33" s="501">
        <f t="shared" si="1"/>
        <v>0</v>
      </c>
      <c r="K33" s="501">
        <f t="shared" si="3"/>
        <v>0</v>
      </c>
      <c r="L33" s="559"/>
    </row>
    <row r="34" spans="1:12">
      <c r="A34" s="816"/>
      <c r="B34" s="558"/>
      <c r="C34" s="437" t="s">
        <v>541</v>
      </c>
      <c r="D34" s="558"/>
      <c r="E34" s="641">
        <f>IFERROR(VLOOKUP(B34,MODULY_CBA!$B$3:$O$23,14,0)*VLOOKUP('Rozpocet - Vyvoj aplikacii'!C34,AKTIVITY_POZICIE!$A$4:$C$39,3,0),0)</f>
        <v>0</v>
      </c>
      <c r="F34" s="500">
        <f>IFERROR(VLOOKUP(C34,POZICIE_INTERNE!$A$4:$D$39,3,0)*VLOOKUP(B34,MODULY_CBA!$B$3:$J$23,9,0)/SUM(MODULY_CBA!$J$3:$J$23),)</f>
        <v>0</v>
      </c>
      <c r="G34" s="506">
        <f>IFERROR(IF(ISTEXT(B34),VLOOKUP(C34,POZICIE_INTERNE!$A$4:$D$39,4,0),),)</f>
        <v>0</v>
      </c>
      <c r="H34" s="507">
        <f>IF(ISTEXT(B34),VLOOKUP(C34,AKTIVITY_POZICIE!$A$4:$E$39,5,0),)</f>
        <v>0</v>
      </c>
      <c r="I34" s="501">
        <f t="shared" si="0"/>
        <v>0</v>
      </c>
      <c r="J34" s="501">
        <f t="shared" si="1"/>
        <v>0</v>
      </c>
      <c r="K34" s="501">
        <f t="shared" si="3"/>
        <v>0</v>
      </c>
      <c r="L34" s="559"/>
    </row>
    <row r="35" spans="1:12">
      <c r="A35" s="816"/>
      <c r="B35" s="558"/>
      <c r="C35" s="437" t="s">
        <v>263</v>
      </c>
      <c r="D35" s="558"/>
      <c r="E35" s="641">
        <f>IFERROR(VLOOKUP(B35,MODULY_CBA!$B$3:$O$23,14,0)*VLOOKUP('Rozpocet - Vyvoj aplikacii'!C35,AKTIVITY_POZICIE!$A$4:$C$39,3,0),0)</f>
        <v>0</v>
      </c>
      <c r="F35" s="500">
        <f>IFERROR(VLOOKUP(C35,POZICIE_INTERNE!$A$4:$D$39,3,0)*VLOOKUP(B35,MODULY_CBA!$B$3:$J$23,9,0)/SUM(MODULY_CBA!$J$3:$J$23),)</f>
        <v>0</v>
      </c>
      <c r="G35" s="506">
        <f>IFERROR(IF(ISTEXT(B35),VLOOKUP(C35,POZICIE_INTERNE!$A$4:$D$39,4,0),),)</f>
        <v>0</v>
      </c>
      <c r="H35" s="507">
        <f>IF(ISTEXT(B35),VLOOKUP(C35,AKTIVITY_POZICIE!$A$4:$E$39,5,0),)</f>
        <v>0</v>
      </c>
      <c r="I35" s="501">
        <f t="shared" si="0"/>
        <v>0</v>
      </c>
      <c r="J35" s="501">
        <f t="shared" si="1"/>
        <v>0</v>
      </c>
      <c r="K35" s="501">
        <f t="shared" si="3"/>
        <v>0</v>
      </c>
      <c r="L35" s="559"/>
    </row>
    <row r="36" spans="1:12">
      <c r="A36" s="816" t="s">
        <v>283</v>
      </c>
      <c r="B36" s="558"/>
      <c r="C36" s="437" t="s">
        <v>262</v>
      </c>
      <c r="D36" s="558"/>
      <c r="E36" s="641">
        <f>IFERROR(VLOOKUP(B36,MODULY_CBA!$B$3:$O$23,14,0)*VLOOKUP('Rozpocet - Vyvoj aplikacii'!C36,AKTIVITY_POZICIE!$A$4:$C$39,3,0),0)</f>
        <v>0</v>
      </c>
      <c r="F36" s="500">
        <f>IFERROR(VLOOKUP(C36,POZICIE_INTERNE!$A$4:$D$39,3,0)*VLOOKUP(B36,MODULY_CBA!$B$3:$J$23,9,0)/SUM(MODULY_CBA!$J$3:$J$23),)</f>
        <v>0</v>
      </c>
      <c r="G36" s="506">
        <f>IFERROR(IF(ISTEXT(B36),VLOOKUP(C36,POZICIE_INTERNE!$A$4:$D$39,4,0),),)</f>
        <v>0</v>
      </c>
      <c r="H36" s="507">
        <f>IF(ISTEXT(B36),VLOOKUP(C36,AKTIVITY_POZICIE!$A$4:$E$39,5,0),)</f>
        <v>0</v>
      </c>
      <c r="I36" s="501">
        <f t="shared" si="0"/>
        <v>0</v>
      </c>
      <c r="J36" s="501">
        <f t="shared" si="1"/>
        <v>0</v>
      </c>
      <c r="K36" s="501">
        <f t="shared" si="3"/>
        <v>0</v>
      </c>
      <c r="L36" s="559"/>
    </row>
    <row r="37" spans="1:12">
      <c r="A37" s="816"/>
      <c r="B37" s="558"/>
      <c r="C37" s="437" t="s">
        <v>541</v>
      </c>
      <c r="D37" s="558"/>
      <c r="E37" s="641">
        <f>IFERROR(VLOOKUP(B37,MODULY_CBA!$B$3:$O$23,14,0)*VLOOKUP('Rozpocet - Vyvoj aplikacii'!C37,AKTIVITY_POZICIE!$A$4:$C$39,3,0),0)</f>
        <v>0</v>
      </c>
      <c r="F37" s="500">
        <f>IFERROR(VLOOKUP(C37,POZICIE_INTERNE!$A$4:$D$39,3,0)*VLOOKUP(B37,MODULY_CBA!$B$3:$J$23,9,0)/SUM(MODULY_CBA!$J$3:$J$23),)</f>
        <v>0</v>
      </c>
      <c r="G37" s="506">
        <f>IFERROR(IF(ISTEXT(B37),VLOOKUP(C37,POZICIE_INTERNE!$A$4:$D$39,4,0),),)</f>
        <v>0</v>
      </c>
      <c r="H37" s="507">
        <f>IF(ISTEXT(B37),VLOOKUP(C37,AKTIVITY_POZICIE!$A$4:$E$39,5,0),)</f>
        <v>0</v>
      </c>
      <c r="I37" s="501">
        <f t="shared" si="0"/>
        <v>0</v>
      </c>
      <c r="J37" s="501">
        <f t="shared" si="1"/>
        <v>0</v>
      </c>
      <c r="K37" s="501">
        <f t="shared" si="3"/>
        <v>0</v>
      </c>
      <c r="L37" s="559"/>
    </row>
    <row r="38" spans="1:12">
      <c r="A38" s="817"/>
      <c r="B38" s="558"/>
      <c r="C38" s="437" t="s">
        <v>263</v>
      </c>
      <c r="D38" s="558"/>
      <c r="E38" s="641">
        <f>IFERROR(VLOOKUP(B38,MODULY_CBA!$B$3:$O$23,14,0)*VLOOKUP('Rozpocet - Vyvoj aplikacii'!C38,AKTIVITY_POZICIE!$A$4:$C$39,3,0),0)</f>
        <v>0</v>
      </c>
      <c r="F38" s="500">
        <f>IFERROR(VLOOKUP(C38,POZICIE_INTERNE!$A$4:$D$39,3,0)*VLOOKUP(B38,MODULY_CBA!$B$3:$J$23,9,0)/SUM(MODULY_CBA!$J$3:$J$23),)</f>
        <v>0</v>
      </c>
      <c r="G38" s="506">
        <f>IFERROR(IF(ISTEXT(B38),VLOOKUP(C38,POZICIE_INTERNE!$A$4:$D$39,4,0),),)</f>
        <v>0</v>
      </c>
      <c r="H38" s="507">
        <f>IF(ISTEXT(B38),VLOOKUP(C38,AKTIVITY_POZICIE!$A$4:$E$39,5,0),)</f>
        <v>0</v>
      </c>
      <c r="I38" s="501">
        <f t="shared" si="0"/>
        <v>0</v>
      </c>
      <c r="J38" s="501">
        <f t="shared" si="1"/>
        <v>0</v>
      </c>
      <c r="K38" s="501">
        <f t="shared" si="3"/>
        <v>0</v>
      </c>
      <c r="L38" s="559"/>
    </row>
    <row r="39" spans="1:12">
      <c r="A39" s="818" t="s">
        <v>284</v>
      </c>
      <c r="B39" s="558"/>
      <c r="C39" s="437" t="s">
        <v>262</v>
      </c>
      <c r="D39" s="558"/>
      <c r="E39" s="641">
        <f>IFERROR(VLOOKUP(B39,MODULY_CBA!$B$3:$O$23,14,0)*VLOOKUP('Rozpocet - Vyvoj aplikacii'!C39,AKTIVITY_POZICIE!$A$4:$C$39,3,0),0)</f>
        <v>0</v>
      </c>
      <c r="F39" s="500">
        <f>IFERROR(VLOOKUP(C39,POZICIE_INTERNE!$A$4:$D$39,3,0)*VLOOKUP(B39,MODULY_CBA!$B$3:$J$23,9,0)/SUM(MODULY_CBA!$J$3:$J$23),)</f>
        <v>0</v>
      </c>
      <c r="G39" s="506">
        <f>IFERROR(IF(ISTEXT(B39),VLOOKUP(C39,POZICIE_INTERNE!$A$4:$D$39,4,0),),)</f>
        <v>0</v>
      </c>
      <c r="H39" s="507">
        <f>IF(ISTEXT(B39),VLOOKUP(C39,AKTIVITY_POZICIE!$A$4:$E$39,5,0),)</f>
        <v>0</v>
      </c>
      <c r="I39" s="501">
        <f t="shared" si="0"/>
        <v>0</v>
      </c>
      <c r="J39" s="501">
        <f t="shared" si="1"/>
        <v>0</v>
      </c>
      <c r="K39" s="501">
        <f t="shared" si="3"/>
        <v>0</v>
      </c>
      <c r="L39" s="559"/>
    </row>
    <row r="40" spans="1:12">
      <c r="A40" s="816"/>
      <c r="B40" s="558"/>
      <c r="C40" s="437" t="s">
        <v>541</v>
      </c>
      <c r="D40" s="558"/>
      <c r="E40" s="641">
        <f>IFERROR(VLOOKUP(B40,MODULY_CBA!$B$3:$O$23,14,0)*VLOOKUP('Rozpocet - Vyvoj aplikacii'!C40,AKTIVITY_POZICIE!$A$4:$C$39,3,0),0)</f>
        <v>0</v>
      </c>
      <c r="F40" s="500">
        <f>IFERROR(VLOOKUP(C40,POZICIE_INTERNE!$A$4:$D$39,3,0)*VLOOKUP(B40,MODULY_CBA!$B$3:$J$23,9,0)/SUM(MODULY_CBA!$J$3:$J$23),)</f>
        <v>0</v>
      </c>
      <c r="G40" s="506">
        <f>IFERROR(IF(ISTEXT(B40),VLOOKUP(C40,POZICIE_INTERNE!$A$4:$D$39,4,0),),)</f>
        <v>0</v>
      </c>
      <c r="H40" s="507">
        <f>IF(ISTEXT(B40),VLOOKUP(C40,AKTIVITY_POZICIE!$A$4:$E$39,5,0),)</f>
        <v>0</v>
      </c>
      <c r="I40" s="501">
        <f t="shared" si="0"/>
        <v>0</v>
      </c>
      <c r="J40" s="501">
        <f t="shared" si="1"/>
        <v>0</v>
      </c>
      <c r="K40" s="501">
        <f t="shared" si="3"/>
        <v>0</v>
      </c>
      <c r="L40" s="559"/>
    </row>
    <row r="41" spans="1:12">
      <c r="A41" s="816"/>
      <c r="B41" s="558"/>
      <c r="C41" s="437" t="s">
        <v>263</v>
      </c>
      <c r="D41" s="558"/>
      <c r="E41" s="641">
        <f>IFERROR(VLOOKUP(B41,MODULY_CBA!$B$3:$O$23,14,0)*VLOOKUP('Rozpocet - Vyvoj aplikacii'!C41,AKTIVITY_POZICIE!$A$4:$C$39,3,0),0)</f>
        <v>0</v>
      </c>
      <c r="F41" s="500">
        <f>IFERROR(VLOOKUP(C41,POZICIE_INTERNE!$A$4:$D$39,3,0)*VLOOKUP(B41,MODULY_CBA!$B$3:$J$23,9,0)/SUM(MODULY_CBA!$J$3:$J$23),)</f>
        <v>0</v>
      </c>
      <c r="G41" s="506">
        <f>IFERROR(IF(ISTEXT(B41),VLOOKUP(C41,POZICIE_INTERNE!$A$4:$D$39,4,0),),)</f>
        <v>0</v>
      </c>
      <c r="H41" s="507">
        <f>IF(ISTEXT(B41),VLOOKUP(C41,AKTIVITY_POZICIE!$A$4:$E$39,5,0),)</f>
        <v>0</v>
      </c>
      <c r="I41" s="501">
        <f t="shared" si="0"/>
        <v>0</v>
      </c>
      <c r="J41" s="501">
        <f t="shared" si="1"/>
        <v>0</v>
      </c>
      <c r="K41" s="501">
        <f t="shared" si="3"/>
        <v>0</v>
      </c>
      <c r="L41" s="559"/>
    </row>
    <row r="42" spans="1:12">
      <c r="A42" s="816" t="s">
        <v>285</v>
      </c>
      <c r="B42" s="558"/>
      <c r="C42" s="437" t="s">
        <v>262</v>
      </c>
      <c r="D42" s="558"/>
      <c r="E42" s="641">
        <f>IFERROR(VLOOKUP(B42,MODULY_CBA!$B$3:$O$23,14,0)*VLOOKUP('Rozpocet - Vyvoj aplikacii'!C42,AKTIVITY_POZICIE!$A$4:$C$39,3,0),0)</f>
        <v>0</v>
      </c>
      <c r="F42" s="500">
        <f>IFERROR(VLOOKUP(C42,POZICIE_INTERNE!$A$4:$D$39,3,0)*VLOOKUP(B42,MODULY_CBA!$B$3:$J$23,9,0)/SUM(MODULY_CBA!$J$3:$J$23),)</f>
        <v>0</v>
      </c>
      <c r="G42" s="506">
        <f>IFERROR(IF(ISTEXT(B42),VLOOKUP(C42,POZICIE_INTERNE!$A$4:$D$39,4,0),),)</f>
        <v>0</v>
      </c>
      <c r="H42" s="507">
        <f>IF(ISTEXT(B42),VLOOKUP(C42,AKTIVITY_POZICIE!$A$4:$E$39,5,0),)</f>
        <v>0</v>
      </c>
      <c r="I42" s="501">
        <f t="shared" si="0"/>
        <v>0</v>
      </c>
      <c r="J42" s="501">
        <f t="shared" si="1"/>
        <v>0</v>
      </c>
      <c r="K42" s="501">
        <f t="shared" si="3"/>
        <v>0</v>
      </c>
      <c r="L42" s="559"/>
    </row>
    <row r="43" spans="1:12">
      <c r="A43" s="816"/>
      <c r="B43" s="558"/>
      <c r="C43" s="437" t="s">
        <v>541</v>
      </c>
      <c r="D43" s="558"/>
      <c r="E43" s="641">
        <f>IFERROR(VLOOKUP(B43,MODULY_CBA!$B$3:$O$23,14,0)*VLOOKUP('Rozpocet - Vyvoj aplikacii'!C43,AKTIVITY_POZICIE!$A$4:$C$39,3,0),0)</f>
        <v>0</v>
      </c>
      <c r="F43" s="500">
        <f>IFERROR(VLOOKUP(C43,POZICIE_INTERNE!$A$4:$D$39,3,0)*VLOOKUP(B43,MODULY_CBA!$B$3:$J$23,9,0)/SUM(MODULY_CBA!$J$3:$J$23),)</f>
        <v>0</v>
      </c>
      <c r="G43" s="506">
        <f>IFERROR(IF(ISTEXT(B43),VLOOKUP(C43,POZICIE_INTERNE!$A$4:$D$39,4,0),),)</f>
        <v>0</v>
      </c>
      <c r="H43" s="507">
        <f>IF(ISTEXT(B43),VLOOKUP(C43,AKTIVITY_POZICIE!$A$4:$E$39,5,0),)</f>
        <v>0</v>
      </c>
      <c r="I43" s="501">
        <f t="shared" si="0"/>
        <v>0</v>
      </c>
      <c r="J43" s="501">
        <f t="shared" si="1"/>
        <v>0</v>
      </c>
      <c r="K43" s="501">
        <f t="shared" si="3"/>
        <v>0</v>
      </c>
      <c r="L43" s="559"/>
    </row>
    <row r="44" spans="1:12">
      <c r="A44" s="816"/>
      <c r="B44" s="558"/>
      <c r="C44" s="437" t="s">
        <v>263</v>
      </c>
      <c r="D44" s="558"/>
      <c r="E44" s="641">
        <f>IFERROR(VLOOKUP(B44,MODULY_CBA!$B$3:$O$23,14,0)*VLOOKUP('Rozpocet - Vyvoj aplikacii'!C44,AKTIVITY_POZICIE!$A$4:$C$39,3,0),0)</f>
        <v>0</v>
      </c>
      <c r="F44" s="500">
        <f>IFERROR(VLOOKUP(C44,POZICIE_INTERNE!$A$4:$D$39,3,0)*VLOOKUP(B44,MODULY_CBA!$B$3:$J$23,9,0)/SUM(MODULY_CBA!$J$3:$J$23),)</f>
        <v>0</v>
      </c>
      <c r="G44" s="506">
        <f>IFERROR(IF(ISTEXT(B44),VLOOKUP(C44,POZICIE_INTERNE!$A$4:$D$39,4,0),),)</f>
        <v>0</v>
      </c>
      <c r="H44" s="507">
        <f>IF(ISTEXT(B44),VLOOKUP(C44,AKTIVITY_POZICIE!$A$4:$E$39,5,0),)</f>
        <v>0</v>
      </c>
      <c r="I44" s="501">
        <f t="shared" si="0"/>
        <v>0</v>
      </c>
      <c r="J44" s="501">
        <f t="shared" si="1"/>
        <v>0</v>
      </c>
      <c r="K44" s="501">
        <f t="shared" si="3"/>
        <v>0</v>
      </c>
      <c r="L44" s="559"/>
    </row>
    <row r="45" spans="1:12">
      <c r="A45" s="816" t="s">
        <v>286</v>
      </c>
      <c r="B45" s="558"/>
      <c r="C45" s="437" t="s">
        <v>262</v>
      </c>
      <c r="D45" s="558"/>
      <c r="E45" s="641">
        <f>IFERROR(VLOOKUP(B45,MODULY_CBA!$B$3:$O$23,14,0)*VLOOKUP('Rozpocet - Vyvoj aplikacii'!C45,AKTIVITY_POZICIE!$A$4:$C$39,3,0),0)</f>
        <v>0</v>
      </c>
      <c r="F45" s="500">
        <f>IFERROR(VLOOKUP(C45,POZICIE_INTERNE!$A$4:$D$39,3,0)*VLOOKUP(B45,MODULY_CBA!$B$3:$J$23,9,0)/SUM(MODULY_CBA!$J$3:$J$23),)</f>
        <v>0</v>
      </c>
      <c r="G45" s="506">
        <f>IFERROR(IF(ISTEXT(B45),VLOOKUP(C45,POZICIE_INTERNE!$A$4:$D$39,4,0),),)</f>
        <v>0</v>
      </c>
      <c r="H45" s="507">
        <f>IF(ISTEXT(B45),VLOOKUP(C45,AKTIVITY_POZICIE!$A$4:$E$39,5,0),)</f>
        <v>0</v>
      </c>
      <c r="I45" s="501">
        <f t="shared" si="0"/>
        <v>0</v>
      </c>
      <c r="J45" s="501">
        <f t="shared" si="1"/>
        <v>0</v>
      </c>
      <c r="K45" s="501">
        <f t="shared" si="3"/>
        <v>0</v>
      </c>
      <c r="L45" s="559"/>
    </row>
    <row r="46" spans="1:12">
      <c r="A46" s="816"/>
      <c r="B46" s="558"/>
      <c r="C46" s="437" t="s">
        <v>541</v>
      </c>
      <c r="D46" s="558"/>
      <c r="E46" s="641">
        <f>IFERROR(VLOOKUP(B46,MODULY_CBA!$B$3:$O$23,14,0)*VLOOKUP('Rozpocet - Vyvoj aplikacii'!C46,AKTIVITY_POZICIE!$A$4:$C$39,3,0),0)</f>
        <v>0</v>
      </c>
      <c r="F46" s="500">
        <f>IFERROR(VLOOKUP(C46,POZICIE_INTERNE!$A$4:$D$39,3,0)*VLOOKUP(B46,MODULY_CBA!$B$3:$J$23,9,0)/SUM(MODULY_CBA!$J$3:$J$23),)</f>
        <v>0</v>
      </c>
      <c r="G46" s="506">
        <f>IFERROR(IF(ISTEXT(B46),VLOOKUP(C46,POZICIE_INTERNE!$A$4:$D$39,4,0),),)</f>
        <v>0</v>
      </c>
      <c r="H46" s="507">
        <f>IF(ISTEXT(B46),VLOOKUP(C46,AKTIVITY_POZICIE!$A$4:$E$39,5,0),)</f>
        <v>0</v>
      </c>
      <c r="I46" s="501">
        <f t="shared" si="0"/>
        <v>0</v>
      </c>
      <c r="J46" s="501">
        <f t="shared" si="1"/>
        <v>0</v>
      </c>
      <c r="K46" s="501">
        <f t="shared" si="3"/>
        <v>0</v>
      </c>
      <c r="L46" s="559"/>
    </row>
    <row r="47" spans="1:12">
      <c r="A47" s="816"/>
      <c r="B47" s="558"/>
      <c r="C47" s="437" t="s">
        <v>263</v>
      </c>
      <c r="D47" s="558"/>
      <c r="E47" s="641">
        <f>IFERROR(VLOOKUP(B47,MODULY_CBA!$B$3:$O$23,14,0)*VLOOKUP('Rozpocet - Vyvoj aplikacii'!C47,AKTIVITY_POZICIE!$A$4:$C$39,3,0),0)</f>
        <v>0</v>
      </c>
      <c r="F47" s="500">
        <f>IFERROR(VLOOKUP(C47,POZICIE_INTERNE!$A$4:$D$39,3,0)*VLOOKUP(B47,MODULY_CBA!$B$3:$J$23,9,0)/SUM(MODULY_CBA!$J$3:$J$23),)</f>
        <v>0</v>
      </c>
      <c r="G47" s="506">
        <f>IFERROR(IF(ISTEXT(B47),VLOOKUP(C47,POZICIE_INTERNE!$A$4:$D$39,4,0),),)</f>
        <v>0</v>
      </c>
      <c r="H47" s="507">
        <f>IF(ISTEXT(B47),VLOOKUP(C47,AKTIVITY_POZICIE!$A$4:$E$39,5,0),)</f>
        <v>0</v>
      </c>
      <c r="I47" s="501">
        <f t="shared" si="0"/>
        <v>0</v>
      </c>
      <c r="J47" s="501">
        <f t="shared" si="1"/>
        <v>0</v>
      </c>
      <c r="K47" s="501">
        <f t="shared" si="3"/>
        <v>0</v>
      </c>
      <c r="L47" s="559"/>
    </row>
    <row r="48" spans="1:12">
      <c r="A48" s="816" t="s">
        <v>287</v>
      </c>
      <c r="B48" s="558"/>
      <c r="C48" s="437" t="s">
        <v>262</v>
      </c>
      <c r="D48" s="558"/>
      <c r="E48" s="641">
        <f>IFERROR(VLOOKUP(B48,MODULY_CBA!$B$3:$O$23,14,0)*VLOOKUP('Rozpocet - Vyvoj aplikacii'!C48,AKTIVITY_POZICIE!$A$4:$C$39,3,0),0)</f>
        <v>0</v>
      </c>
      <c r="F48" s="500">
        <f>IFERROR(VLOOKUP(C48,POZICIE_INTERNE!$A$4:$D$39,3,0)*VLOOKUP(B48,MODULY_CBA!$B$3:$J$23,9,0)/SUM(MODULY_CBA!$J$3:$J$23),)</f>
        <v>0</v>
      </c>
      <c r="G48" s="506">
        <f>IFERROR(IF(ISTEXT(B48),VLOOKUP(C48,POZICIE_INTERNE!$A$4:$D$39,4,0),),)</f>
        <v>0</v>
      </c>
      <c r="H48" s="507">
        <f>IF(ISTEXT(B48),VLOOKUP(C48,AKTIVITY_POZICIE!$A$4:$E$39,5,0),)</f>
        <v>0</v>
      </c>
      <c r="I48" s="501">
        <f t="shared" si="0"/>
        <v>0</v>
      </c>
      <c r="J48" s="501">
        <f t="shared" si="1"/>
        <v>0</v>
      </c>
      <c r="K48" s="501">
        <f t="shared" si="3"/>
        <v>0</v>
      </c>
      <c r="L48" s="559"/>
    </row>
    <row r="49" spans="1:12">
      <c r="A49" s="816"/>
      <c r="B49" s="558"/>
      <c r="C49" s="437" t="s">
        <v>541</v>
      </c>
      <c r="D49" s="558"/>
      <c r="E49" s="641">
        <f>IFERROR(VLOOKUP(B49,MODULY_CBA!$B$3:$O$23,14,0)*VLOOKUP('Rozpocet - Vyvoj aplikacii'!C49,AKTIVITY_POZICIE!$A$4:$C$39,3,0),0)</f>
        <v>0</v>
      </c>
      <c r="F49" s="500">
        <f>IFERROR(VLOOKUP(C49,POZICIE_INTERNE!$A$4:$D$39,3,0)*VLOOKUP(B49,MODULY_CBA!$B$3:$J$23,9,0)/SUM(MODULY_CBA!$J$3:$J$23),)</f>
        <v>0</v>
      </c>
      <c r="G49" s="506">
        <f>IFERROR(IF(ISTEXT(B49),VLOOKUP(C49,POZICIE_INTERNE!$A$4:$D$39,4,0),),)</f>
        <v>0</v>
      </c>
      <c r="H49" s="507">
        <f>IF(ISTEXT(B49),VLOOKUP(C49,AKTIVITY_POZICIE!$A$4:$E$39,5,0),)</f>
        <v>0</v>
      </c>
      <c r="I49" s="501">
        <f t="shared" si="0"/>
        <v>0</v>
      </c>
      <c r="J49" s="501">
        <f t="shared" si="1"/>
        <v>0</v>
      </c>
      <c r="K49" s="501">
        <f t="shared" si="3"/>
        <v>0</v>
      </c>
      <c r="L49" s="559"/>
    </row>
    <row r="50" spans="1:12">
      <c r="A50" s="817"/>
      <c r="B50" s="558"/>
      <c r="C50" s="437" t="s">
        <v>263</v>
      </c>
      <c r="D50" s="558"/>
      <c r="E50" s="641">
        <f>IFERROR(VLOOKUP(B50,MODULY_CBA!$B$3:$O$23,14,0)*VLOOKUP('Rozpocet - Vyvoj aplikacii'!C50,AKTIVITY_POZICIE!$A$4:$C$39,3,0),0)</f>
        <v>0</v>
      </c>
      <c r="F50" s="500">
        <f>IFERROR(VLOOKUP(C50,POZICIE_INTERNE!$A$4:$D$39,3,0)*VLOOKUP(B50,MODULY_CBA!$B$3:$J$23,9,0)/SUM(MODULY_CBA!$J$3:$J$23),)</f>
        <v>0</v>
      </c>
      <c r="G50" s="506">
        <f>IFERROR(IF(ISTEXT(B50),VLOOKUP(C50,POZICIE_INTERNE!$A$4:$D$39,4,0),),)</f>
        <v>0</v>
      </c>
      <c r="H50" s="507">
        <f>IF(ISTEXT(B50),VLOOKUP(C50,AKTIVITY_POZICIE!$A$4:$E$39,5,0),)</f>
        <v>0</v>
      </c>
      <c r="I50" s="501">
        <f t="shared" si="0"/>
        <v>0</v>
      </c>
      <c r="J50" s="501">
        <f t="shared" si="1"/>
        <v>0</v>
      </c>
      <c r="K50" s="501">
        <f t="shared" si="3"/>
        <v>0</v>
      </c>
      <c r="L50" s="559"/>
    </row>
    <row r="51" spans="1:12">
      <c r="A51" s="818" t="s">
        <v>288</v>
      </c>
      <c r="B51" s="558"/>
      <c r="C51" s="437" t="s">
        <v>262</v>
      </c>
      <c r="D51" s="558"/>
      <c r="E51" s="641">
        <f>IFERROR(VLOOKUP(B51,MODULY_CBA!$B$3:$O$23,14,0)*VLOOKUP('Rozpocet - Vyvoj aplikacii'!C51,AKTIVITY_POZICIE!$A$4:$C$39,3,0),0)</f>
        <v>0</v>
      </c>
      <c r="F51" s="500">
        <f>IFERROR(VLOOKUP(C51,POZICIE_INTERNE!$A$4:$D$39,3,0)*VLOOKUP(B51,MODULY_CBA!$B$3:$J$23,9,0)/SUM(MODULY_CBA!$J$3:$J$23),)</f>
        <v>0</v>
      </c>
      <c r="G51" s="506">
        <f>IFERROR(IF(ISTEXT(B51),VLOOKUP(C51,POZICIE_INTERNE!$A$4:$D$39,4,0),),)</f>
        <v>0</v>
      </c>
      <c r="H51" s="507">
        <f>IF(ISTEXT(B51),VLOOKUP(C51,AKTIVITY_POZICIE!$A$4:$E$39,5,0),)</f>
        <v>0</v>
      </c>
      <c r="I51" s="501">
        <f t="shared" si="0"/>
        <v>0</v>
      </c>
      <c r="J51" s="501">
        <f t="shared" si="1"/>
        <v>0</v>
      </c>
      <c r="K51" s="501">
        <f t="shared" si="3"/>
        <v>0</v>
      </c>
      <c r="L51" s="559"/>
    </row>
    <row r="52" spans="1:12">
      <c r="A52" s="816"/>
      <c r="B52" s="558"/>
      <c r="C52" s="437" t="s">
        <v>541</v>
      </c>
      <c r="D52" s="558"/>
      <c r="E52" s="641">
        <f>IFERROR(VLOOKUP(B52,MODULY_CBA!$B$3:$O$23,14,0)*VLOOKUP('Rozpocet - Vyvoj aplikacii'!C52,AKTIVITY_POZICIE!$A$4:$C$39,3,0),0)</f>
        <v>0</v>
      </c>
      <c r="F52" s="500">
        <f>IFERROR(VLOOKUP(C52,POZICIE_INTERNE!$A$4:$D$39,3,0)*VLOOKUP(B52,MODULY_CBA!$B$3:$J$23,9,0)/SUM(MODULY_CBA!$J$3:$J$23),)</f>
        <v>0</v>
      </c>
      <c r="G52" s="506">
        <f>IFERROR(IF(ISTEXT(B52),VLOOKUP(C52,POZICIE_INTERNE!$A$4:$D$39,4,0),),)</f>
        <v>0</v>
      </c>
      <c r="H52" s="507">
        <f>IF(ISTEXT(B52),VLOOKUP(C52,AKTIVITY_POZICIE!$A$4:$E$39,5,0),)</f>
        <v>0</v>
      </c>
      <c r="I52" s="501">
        <f t="shared" si="0"/>
        <v>0</v>
      </c>
      <c r="J52" s="501">
        <f t="shared" si="1"/>
        <v>0</v>
      </c>
      <c r="K52" s="501">
        <f t="shared" si="3"/>
        <v>0</v>
      </c>
      <c r="L52" s="559"/>
    </row>
    <row r="53" spans="1:12">
      <c r="A53" s="816"/>
      <c r="B53" s="558"/>
      <c r="C53" s="437" t="s">
        <v>263</v>
      </c>
      <c r="D53" s="558"/>
      <c r="E53" s="641">
        <f>IFERROR(VLOOKUP(B53,MODULY_CBA!$B$3:$O$23,14,0)*VLOOKUP('Rozpocet - Vyvoj aplikacii'!C53,AKTIVITY_POZICIE!$A$4:$C$39,3,0),0)</f>
        <v>0</v>
      </c>
      <c r="F53" s="500">
        <f>IFERROR(VLOOKUP(C53,POZICIE_INTERNE!$A$4:$D$39,3,0)*VLOOKUP(B53,MODULY_CBA!$B$3:$J$23,9,0)/SUM(MODULY_CBA!$J$3:$J$23),)</f>
        <v>0</v>
      </c>
      <c r="G53" s="506">
        <f>IFERROR(IF(ISTEXT(B53),VLOOKUP(C53,POZICIE_INTERNE!$A$4:$D$39,4,0),),)</f>
        <v>0</v>
      </c>
      <c r="H53" s="507">
        <f>IF(ISTEXT(B53),VLOOKUP(C53,AKTIVITY_POZICIE!$A$4:$E$39,5,0),)</f>
        <v>0</v>
      </c>
      <c r="I53" s="501">
        <f t="shared" si="0"/>
        <v>0</v>
      </c>
      <c r="J53" s="501">
        <f t="shared" si="1"/>
        <v>0</v>
      </c>
      <c r="K53" s="501">
        <f t="shared" si="3"/>
        <v>0</v>
      </c>
      <c r="L53" s="559"/>
    </row>
    <row r="54" spans="1:12">
      <c r="A54" s="816" t="s">
        <v>289</v>
      </c>
      <c r="B54" s="558"/>
      <c r="C54" s="437" t="s">
        <v>262</v>
      </c>
      <c r="D54" s="558"/>
      <c r="E54" s="641">
        <f>IFERROR(VLOOKUP(B54,MODULY_CBA!$B$3:$O$23,14,0)*VLOOKUP('Rozpocet - Vyvoj aplikacii'!C54,AKTIVITY_POZICIE!$A$4:$C$39,3,0),0)</f>
        <v>0</v>
      </c>
      <c r="F54" s="500">
        <f>IFERROR(VLOOKUP(C54,POZICIE_INTERNE!$A$4:$D$39,3,0)*VLOOKUP(B54,MODULY_CBA!$B$3:$J$23,9,0)/SUM(MODULY_CBA!$J$3:$J$23),)</f>
        <v>0</v>
      </c>
      <c r="G54" s="506">
        <f>IFERROR(IF(ISTEXT(B54),VLOOKUP(C54,POZICIE_INTERNE!$A$4:$D$39,4,0),),)</f>
        <v>0</v>
      </c>
      <c r="H54" s="507">
        <f>IF(ISTEXT(B54),VLOOKUP(C54,AKTIVITY_POZICIE!$A$4:$E$39,5,0),)</f>
        <v>0</v>
      </c>
      <c r="I54" s="501">
        <f t="shared" si="0"/>
        <v>0</v>
      </c>
      <c r="J54" s="501">
        <f t="shared" si="1"/>
        <v>0</v>
      </c>
      <c r="K54" s="501">
        <f t="shared" si="3"/>
        <v>0</v>
      </c>
      <c r="L54" s="559"/>
    </row>
    <row r="55" spans="1:12">
      <c r="A55" s="816"/>
      <c r="B55" s="558"/>
      <c r="C55" s="437" t="s">
        <v>541</v>
      </c>
      <c r="D55" s="558"/>
      <c r="E55" s="641">
        <f>IFERROR(VLOOKUP(B55,MODULY_CBA!$B$3:$O$23,14,0)*VLOOKUP('Rozpocet - Vyvoj aplikacii'!C55,AKTIVITY_POZICIE!$A$4:$C$39,3,0),0)</f>
        <v>0</v>
      </c>
      <c r="F55" s="500">
        <f>IFERROR(VLOOKUP(C55,POZICIE_INTERNE!$A$4:$D$39,3,0)*VLOOKUP(B55,MODULY_CBA!$B$3:$J$23,9,0)/SUM(MODULY_CBA!$J$3:$J$23),)</f>
        <v>0</v>
      </c>
      <c r="G55" s="506">
        <f>IFERROR(IF(ISTEXT(B55),VLOOKUP(C55,POZICIE_INTERNE!$A$4:$D$39,4,0),),)</f>
        <v>0</v>
      </c>
      <c r="H55" s="507">
        <f>IF(ISTEXT(B55),VLOOKUP(C55,AKTIVITY_POZICIE!$A$4:$E$39,5,0),)</f>
        <v>0</v>
      </c>
      <c r="I55" s="501">
        <f t="shared" si="0"/>
        <v>0</v>
      </c>
      <c r="J55" s="501">
        <f t="shared" si="1"/>
        <v>0</v>
      </c>
      <c r="K55" s="501">
        <f t="shared" si="3"/>
        <v>0</v>
      </c>
      <c r="L55" s="559"/>
    </row>
    <row r="56" spans="1:12">
      <c r="A56" s="816"/>
      <c r="B56" s="558"/>
      <c r="C56" s="437" t="s">
        <v>263</v>
      </c>
      <c r="D56" s="558"/>
      <c r="E56" s="641">
        <f>IFERROR(VLOOKUP(B56,MODULY_CBA!$B$3:$O$23,14,0)*VLOOKUP('Rozpocet - Vyvoj aplikacii'!C56,AKTIVITY_POZICIE!$A$4:$C$39,3,0),0)</f>
        <v>0</v>
      </c>
      <c r="F56" s="500">
        <f>IFERROR(VLOOKUP(C56,POZICIE_INTERNE!$A$4:$D$39,3,0)*VLOOKUP(B56,MODULY_CBA!$B$3:$J$23,9,0)/SUM(MODULY_CBA!$J$3:$J$23),)</f>
        <v>0</v>
      </c>
      <c r="G56" s="506">
        <f>IFERROR(IF(ISTEXT(B56),VLOOKUP(C56,POZICIE_INTERNE!$A$4:$D$39,4,0),),)</f>
        <v>0</v>
      </c>
      <c r="H56" s="507">
        <f>IF(ISTEXT(B56),VLOOKUP(C56,AKTIVITY_POZICIE!$A$4:$E$39,5,0),)</f>
        <v>0</v>
      </c>
      <c r="I56" s="501">
        <f t="shared" si="0"/>
        <v>0</v>
      </c>
      <c r="J56" s="501">
        <f t="shared" si="1"/>
        <v>0</v>
      </c>
      <c r="K56" s="501">
        <f t="shared" si="3"/>
        <v>0</v>
      </c>
      <c r="L56" s="559"/>
    </row>
    <row r="57" spans="1:12">
      <c r="A57" s="816" t="s">
        <v>290</v>
      </c>
      <c r="B57" s="558"/>
      <c r="C57" s="437" t="s">
        <v>262</v>
      </c>
      <c r="D57" s="558"/>
      <c r="E57" s="641">
        <f>IFERROR(VLOOKUP(B57,MODULY_CBA!$B$3:$O$23,14,0)*VLOOKUP('Rozpocet - Vyvoj aplikacii'!C57,AKTIVITY_POZICIE!$A$4:$C$39,3,0),0)</f>
        <v>0</v>
      </c>
      <c r="F57" s="500">
        <f>IFERROR(VLOOKUP(C57,POZICIE_INTERNE!$A$4:$D$39,3,0)*VLOOKUP(B57,MODULY_CBA!$B$3:$J$23,9,0)/SUM(MODULY_CBA!$J$3:$J$23),)</f>
        <v>0</v>
      </c>
      <c r="G57" s="506">
        <f>IFERROR(IF(ISTEXT(B57),VLOOKUP(C57,POZICIE_INTERNE!$A$4:$D$39,4,0),),)</f>
        <v>0</v>
      </c>
      <c r="H57" s="507">
        <f>IF(ISTEXT(B57),VLOOKUP(C57,AKTIVITY_POZICIE!$A$4:$E$39,5,0),)</f>
        <v>0</v>
      </c>
      <c r="I57" s="501">
        <f t="shared" si="0"/>
        <v>0</v>
      </c>
      <c r="J57" s="501">
        <f t="shared" si="1"/>
        <v>0</v>
      </c>
      <c r="K57" s="501">
        <f t="shared" si="3"/>
        <v>0</v>
      </c>
      <c r="L57" s="559"/>
    </row>
    <row r="58" spans="1:12">
      <c r="A58" s="816"/>
      <c r="B58" s="558"/>
      <c r="C58" s="437" t="s">
        <v>541</v>
      </c>
      <c r="D58" s="558"/>
      <c r="E58" s="641">
        <f>IFERROR(VLOOKUP(B58,MODULY_CBA!$B$3:$O$23,14,0)*VLOOKUP('Rozpocet - Vyvoj aplikacii'!C58,AKTIVITY_POZICIE!$A$4:$C$39,3,0),0)</f>
        <v>0</v>
      </c>
      <c r="F58" s="500">
        <f>IFERROR(VLOOKUP(C58,POZICIE_INTERNE!$A$4:$D$39,3,0)*VLOOKUP(B58,MODULY_CBA!$B$3:$J$23,9,0)/SUM(MODULY_CBA!$J$3:$J$23),)</f>
        <v>0</v>
      </c>
      <c r="G58" s="506">
        <f>IFERROR(IF(ISTEXT(B58),VLOOKUP(C58,POZICIE_INTERNE!$A$4:$D$39,4,0),),)</f>
        <v>0</v>
      </c>
      <c r="H58" s="507">
        <f>IF(ISTEXT(B58),VLOOKUP(C58,AKTIVITY_POZICIE!$A$4:$E$39,5,0),)</f>
        <v>0</v>
      </c>
      <c r="I58" s="501">
        <f t="shared" si="0"/>
        <v>0</v>
      </c>
      <c r="J58" s="501">
        <f t="shared" si="1"/>
        <v>0</v>
      </c>
      <c r="K58" s="501">
        <f t="shared" si="3"/>
        <v>0</v>
      </c>
      <c r="L58" s="559"/>
    </row>
    <row r="59" spans="1:12">
      <c r="A59" s="816"/>
      <c r="B59" s="558"/>
      <c r="C59" s="437" t="s">
        <v>263</v>
      </c>
      <c r="D59" s="558"/>
      <c r="E59" s="641">
        <f>IFERROR(VLOOKUP(B59,MODULY_CBA!$B$3:$O$23,14,0)*VLOOKUP('Rozpocet - Vyvoj aplikacii'!C59,AKTIVITY_POZICIE!$A$4:$C$39,3,0),0)</f>
        <v>0</v>
      </c>
      <c r="F59" s="500">
        <f>IFERROR(VLOOKUP(C59,POZICIE_INTERNE!$A$4:$D$39,3,0)*VLOOKUP(B59,MODULY_CBA!$B$3:$J$23,9,0)/SUM(MODULY_CBA!$J$3:$J$23),)</f>
        <v>0</v>
      </c>
      <c r="G59" s="506">
        <f>IFERROR(IF(ISTEXT(B59),VLOOKUP(C59,POZICIE_INTERNE!$A$4:$D$39,4,0),),)</f>
        <v>0</v>
      </c>
      <c r="H59" s="507">
        <f>IF(ISTEXT(B59),VLOOKUP(C59,AKTIVITY_POZICIE!$A$4:$E$39,5,0),)</f>
        <v>0</v>
      </c>
      <c r="I59" s="501">
        <f t="shared" si="0"/>
        <v>0</v>
      </c>
      <c r="J59" s="501">
        <f t="shared" si="1"/>
        <v>0</v>
      </c>
      <c r="K59" s="501">
        <f t="shared" si="3"/>
        <v>0</v>
      </c>
      <c r="L59" s="559"/>
    </row>
    <row r="60" spans="1:12">
      <c r="A60" s="816" t="s">
        <v>291</v>
      </c>
      <c r="B60" s="558"/>
      <c r="C60" s="437" t="s">
        <v>262</v>
      </c>
      <c r="D60" s="558"/>
      <c r="E60" s="641">
        <f>IFERROR(VLOOKUP(B60,MODULY_CBA!$B$3:$O$23,14,0)*VLOOKUP('Rozpocet - Vyvoj aplikacii'!C60,AKTIVITY_POZICIE!$A$4:$C$39,3,0),0)</f>
        <v>0</v>
      </c>
      <c r="F60" s="500">
        <f>IFERROR(VLOOKUP(C60,POZICIE_INTERNE!$A$4:$D$39,3,0)*VLOOKUP(B60,MODULY_CBA!$B$3:$J$23,9,0)/SUM(MODULY_CBA!$J$3:$J$23),)</f>
        <v>0</v>
      </c>
      <c r="G60" s="506">
        <f>IFERROR(IF(ISTEXT(B60),VLOOKUP(C60,POZICIE_INTERNE!$A$4:$D$39,4,0),),)</f>
        <v>0</v>
      </c>
      <c r="H60" s="507">
        <f>IF(ISTEXT(B60),VLOOKUP(C60,AKTIVITY_POZICIE!$A$4:$E$39,5,0),)</f>
        <v>0</v>
      </c>
      <c r="I60" s="501">
        <f t="shared" si="0"/>
        <v>0</v>
      </c>
      <c r="J60" s="501">
        <f t="shared" si="1"/>
        <v>0</v>
      </c>
      <c r="K60" s="501">
        <f t="shared" si="3"/>
        <v>0</v>
      </c>
      <c r="L60" s="559"/>
    </row>
    <row r="61" spans="1:12">
      <c r="A61" s="816"/>
      <c r="B61" s="558"/>
      <c r="C61" s="437" t="s">
        <v>541</v>
      </c>
      <c r="D61" s="558"/>
      <c r="E61" s="641">
        <f>IFERROR(VLOOKUP(B61,MODULY_CBA!$B$3:$O$23,14,0)*VLOOKUP('Rozpocet - Vyvoj aplikacii'!C61,AKTIVITY_POZICIE!$A$4:$C$39,3,0),0)</f>
        <v>0</v>
      </c>
      <c r="F61" s="500">
        <f>IFERROR(VLOOKUP(C61,POZICIE_INTERNE!$A$4:$D$39,3,0)*VLOOKUP(B61,MODULY_CBA!$B$3:$J$23,9,0)/SUM(MODULY_CBA!$J$3:$J$23),)</f>
        <v>0</v>
      </c>
      <c r="G61" s="506">
        <f>IFERROR(IF(ISTEXT(B61),VLOOKUP(C61,POZICIE_INTERNE!$A$4:$D$39,4,0),),)</f>
        <v>0</v>
      </c>
      <c r="H61" s="507">
        <f>IF(ISTEXT(B61),VLOOKUP(C61,AKTIVITY_POZICIE!$A$4:$E$39,5,0),)</f>
        <v>0</v>
      </c>
      <c r="I61" s="501">
        <f t="shared" si="0"/>
        <v>0</v>
      </c>
      <c r="J61" s="501">
        <f t="shared" si="1"/>
        <v>0</v>
      </c>
      <c r="K61" s="501">
        <f t="shared" si="3"/>
        <v>0</v>
      </c>
      <c r="L61" s="559"/>
    </row>
    <row r="62" spans="1:12">
      <c r="A62" s="817"/>
      <c r="B62" s="558"/>
      <c r="C62" s="437" t="s">
        <v>263</v>
      </c>
      <c r="D62" s="558"/>
      <c r="E62" s="641">
        <f>IFERROR(VLOOKUP(B62,MODULY_CBA!$B$3:$O$23,14,0)*VLOOKUP('Rozpocet - Vyvoj aplikacii'!C62,AKTIVITY_POZICIE!$A$4:$C$39,3,0),0)</f>
        <v>0</v>
      </c>
      <c r="F62" s="500">
        <f>IFERROR(VLOOKUP(C62,POZICIE_INTERNE!$A$4:$D$39,3,0)*VLOOKUP(B62,MODULY_CBA!$B$3:$J$23,9,0)/SUM(MODULY_CBA!$J$3:$J$23),)</f>
        <v>0</v>
      </c>
      <c r="G62" s="506">
        <f>IFERROR(IF(ISTEXT(B62),VLOOKUP(C62,POZICIE_INTERNE!$A$4:$D$39,4,0),),)</f>
        <v>0</v>
      </c>
      <c r="H62" s="507">
        <f>IF(ISTEXT(B62),VLOOKUP(C62,AKTIVITY_POZICIE!$A$4:$E$39,5,0),)</f>
        <v>0</v>
      </c>
      <c r="I62" s="501">
        <f t="shared" si="0"/>
        <v>0</v>
      </c>
      <c r="J62" s="501">
        <f t="shared" si="1"/>
        <v>0</v>
      </c>
      <c r="K62" s="501">
        <f t="shared" si="3"/>
        <v>0</v>
      </c>
      <c r="L62" s="559"/>
    </row>
    <row r="63" spans="1:12">
      <c r="A63" s="818" t="s">
        <v>292</v>
      </c>
      <c r="B63" s="558"/>
      <c r="C63" s="437" t="s">
        <v>262</v>
      </c>
      <c r="D63" s="558"/>
      <c r="E63" s="641">
        <f>IFERROR(VLOOKUP(B63,MODULY_CBA!$B$3:$O$23,14,0)*VLOOKUP('Rozpocet - Vyvoj aplikacii'!C63,AKTIVITY_POZICIE!$A$4:$C$39,3,0),0)</f>
        <v>0</v>
      </c>
      <c r="F63" s="500">
        <f>IFERROR(VLOOKUP(C63,POZICIE_INTERNE!$A$4:$D$39,3,0)*VLOOKUP(B63,MODULY_CBA!$B$3:$J$23,9,0)/SUM(MODULY_CBA!$J$3:$J$23),)</f>
        <v>0</v>
      </c>
      <c r="G63" s="506">
        <f>IFERROR(IF(ISTEXT(B63),VLOOKUP(C63,POZICIE_INTERNE!$A$4:$D$39,4,0),),)</f>
        <v>0</v>
      </c>
      <c r="H63" s="507">
        <f>IF(ISTEXT(B63),VLOOKUP(C63,AKTIVITY_POZICIE!$A$4:$E$39,5,0),)</f>
        <v>0</v>
      </c>
      <c r="I63" s="501">
        <f t="shared" si="0"/>
        <v>0</v>
      </c>
      <c r="J63" s="501">
        <f t="shared" si="1"/>
        <v>0</v>
      </c>
      <c r="K63" s="501">
        <f t="shared" si="3"/>
        <v>0</v>
      </c>
      <c r="L63" s="559"/>
    </row>
    <row r="64" spans="1:12">
      <c r="A64" s="816"/>
      <c r="B64" s="558"/>
      <c r="C64" s="437" t="s">
        <v>541</v>
      </c>
      <c r="D64" s="558"/>
      <c r="E64" s="641">
        <f>IFERROR(VLOOKUP(B64,MODULY_CBA!$B$3:$O$23,14,0)*VLOOKUP('Rozpocet - Vyvoj aplikacii'!C64,AKTIVITY_POZICIE!$A$4:$C$39,3,0),0)</f>
        <v>0</v>
      </c>
      <c r="F64" s="500">
        <f>IFERROR(VLOOKUP(C64,POZICIE_INTERNE!$A$4:$D$39,3,0)*VLOOKUP(B64,MODULY_CBA!$B$3:$J$23,9,0)/SUM(MODULY_CBA!$J$3:$J$23),)</f>
        <v>0</v>
      </c>
      <c r="G64" s="506">
        <f>IFERROR(IF(ISTEXT(B64),VLOOKUP(C64,POZICIE_INTERNE!$A$4:$D$39,4,0),),)</f>
        <v>0</v>
      </c>
      <c r="H64" s="507">
        <f>IF(ISTEXT(B64),VLOOKUP(C64,AKTIVITY_POZICIE!$A$4:$E$39,5,0),)</f>
        <v>0</v>
      </c>
      <c r="I64" s="501">
        <f t="shared" si="0"/>
        <v>0</v>
      </c>
      <c r="J64" s="501">
        <f t="shared" si="1"/>
        <v>0</v>
      </c>
      <c r="K64" s="501">
        <f t="shared" si="3"/>
        <v>0</v>
      </c>
      <c r="L64" s="559"/>
    </row>
    <row r="65" spans="1:12">
      <c r="A65" s="816"/>
      <c r="B65" s="558"/>
      <c r="C65" s="437" t="s">
        <v>263</v>
      </c>
      <c r="D65" s="558"/>
      <c r="E65" s="641">
        <f>IFERROR(VLOOKUP(B65,MODULY_CBA!$B$3:$O$23,14,0)*VLOOKUP('Rozpocet - Vyvoj aplikacii'!C65,AKTIVITY_POZICIE!$A$4:$C$39,3,0),0)</f>
        <v>0</v>
      </c>
      <c r="F65" s="500">
        <f>IFERROR(VLOOKUP(C65,POZICIE_INTERNE!$A$4:$D$39,3,0)*VLOOKUP(B65,MODULY_CBA!$B$3:$J$23,9,0)/SUM(MODULY_CBA!$J$3:$J$23),)</f>
        <v>0</v>
      </c>
      <c r="G65" s="506">
        <f>IFERROR(IF(ISTEXT(B65),VLOOKUP(C65,POZICIE_INTERNE!$A$4:$D$39,4,0),),)</f>
        <v>0</v>
      </c>
      <c r="H65" s="507">
        <f>IF(ISTEXT(B65),VLOOKUP(C65,AKTIVITY_POZICIE!$A$4:$E$39,5,0),)</f>
        <v>0</v>
      </c>
      <c r="I65" s="501">
        <f t="shared" si="0"/>
        <v>0</v>
      </c>
      <c r="J65" s="501">
        <f t="shared" si="1"/>
        <v>0</v>
      </c>
      <c r="K65" s="501">
        <f t="shared" si="3"/>
        <v>0</v>
      </c>
      <c r="L65" s="559"/>
    </row>
  </sheetData>
  <autoFilter ref="B2:L65" xr:uid="{00000000-0009-0000-0000-000011000000}"/>
  <mergeCells count="22">
    <mergeCell ref="A63:A65"/>
    <mergeCell ref="A48:A50"/>
    <mergeCell ref="A51:A53"/>
    <mergeCell ref="A54:A56"/>
    <mergeCell ref="A57:A59"/>
    <mergeCell ref="A60:A62"/>
    <mergeCell ref="A45:A47"/>
    <mergeCell ref="A3:A5"/>
    <mergeCell ref="A6:A8"/>
    <mergeCell ref="A9:A11"/>
    <mergeCell ref="A12:A14"/>
    <mergeCell ref="A15:A17"/>
    <mergeCell ref="A18:A20"/>
    <mergeCell ref="A21:A23"/>
    <mergeCell ref="A24:A26"/>
    <mergeCell ref="A27:A29"/>
    <mergeCell ref="A30:A32"/>
    <mergeCell ref="A1:D1"/>
    <mergeCell ref="A33:A35"/>
    <mergeCell ref="A36:A38"/>
    <mergeCell ref="A39:A41"/>
    <mergeCell ref="A42:A44"/>
  </mergeCells>
  <phoneticPr fontId="58" type="noConversion"/>
  <dataValidations count="1">
    <dataValidation type="list" allowBlank="1" showInputMessage="1" showErrorMessage="1" sqref="B3:B65" xr:uid="{00000000-0002-0000-1100-000000000000}">
      <formula1>MODULY</formula1>
    </dataValidation>
  </dataValidations>
  <pageMargins left="0.7" right="0.7" top="0.75" bottom="0.75" header="0.3" footer="0.3"/>
  <pageSetup paperSize="9" scale="19"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50"/>
  </sheetPr>
  <dimension ref="A1:O31"/>
  <sheetViews>
    <sheetView topLeftCell="A22" workbookViewId="0">
      <selection activeCell="F10" sqref="F10:F31"/>
    </sheetView>
  </sheetViews>
  <sheetFormatPr defaultColWidth="8.7109375" defaultRowHeight="15"/>
  <cols>
    <col min="1" max="11" width="18.140625" style="481" customWidth="1"/>
    <col min="12" max="12" width="26.140625" style="481" customWidth="1"/>
    <col min="13" max="15" width="24.42578125" style="481" customWidth="1"/>
    <col min="16" max="16384" width="8.7109375" style="365"/>
  </cols>
  <sheetData>
    <row r="1" spans="1:12" ht="30">
      <c r="A1" s="481" t="s">
        <v>711</v>
      </c>
      <c r="B1" s="481" t="s">
        <v>712</v>
      </c>
      <c r="C1" s="481" t="s">
        <v>713</v>
      </c>
      <c r="D1" s="481" t="s">
        <v>714</v>
      </c>
      <c r="E1" s="481" t="s">
        <v>715</v>
      </c>
      <c r="F1" s="481" t="s">
        <v>716</v>
      </c>
      <c r="G1" s="481" t="s">
        <v>717</v>
      </c>
      <c r="H1" s="481" t="s">
        <v>718</v>
      </c>
      <c r="I1" s="481" t="s">
        <v>719</v>
      </c>
      <c r="J1" s="481" t="s">
        <v>720</v>
      </c>
      <c r="K1" s="481" t="s">
        <v>721</v>
      </c>
      <c r="L1" s="481" t="s">
        <v>722</v>
      </c>
    </row>
    <row r="2" spans="1:12" ht="75">
      <c r="A2" s="481" t="s">
        <v>690</v>
      </c>
      <c r="B2" s="481" t="s">
        <v>691</v>
      </c>
      <c r="C2" s="481" t="s">
        <v>693</v>
      </c>
      <c r="D2" s="481" t="s">
        <v>694</v>
      </c>
      <c r="E2" s="481" t="s">
        <v>696</v>
      </c>
      <c r="F2" s="481" t="s">
        <v>401</v>
      </c>
      <c r="G2" s="481" t="s">
        <v>697</v>
      </c>
      <c r="H2" s="481" t="s">
        <v>695</v>
      </c>
      <c r="I2" s="481" t="s">
        <v>688</v>
      </c>
      <c r="J2" s="481" t="s">
        <v>700</v>
      </c>
      <c r="L2" s="481" t="s">
        <v>703</v>
      </c>
    </row>
    <row r="3" spans="1:12" ht="60">
      <c r="B3" s="481" t="s">
        <v>692</v>
      </c>
      <c r="D3" s="481" t="s">
        <v>695</v>
      </c>
      <c r="H3" s="481" t="s">
        <v>698</v>
      </c>
      <c r="J3" s="481" t="s">
        <v>699</v>
      </c>
      <c r="L3" s="481" t="s">
        <v>708</v>
      </c>
    </row>
    <row r="4" spans="1:12" ht="30">
      <c r="L4" s="481" t="s">
        <v>704</v>
      </c>
    </row>
    <row r="5" spans="1:12" ht="30">
      <c r="L5" s="481" t="s">
        <v>709</v>
      </c>
    </row>
    <row r="6" spans="1:12" ht="30">
      <c r="L6" s="481" t="s">
        <v>705</v>
      </c>
    </row>
    <row r="7" spans="1:12" ht="30">
      <c r="L7" s="481" t="s">
        <v>706</v>
      </c>
    </row>
    <row r="8" spans="1:12">
      <c r="L8" s="481" t="s">
        <v>707</v>
      </c>
    </row>
    <row r="9" spans="1:12">
      <c r="A9" s="481" t="s">
        <v>724</v>
      </c>
      <c r="B9" s="481" t="s">
        <v>725</v>
      </c>
      <c r="D9" s="365" t="s">
        <v>684</v>
      </c>
      <c r="E9" s="365" t="s">
        <v>726</v>
      </c>
      <c r="F9" s="481" t="s">
        <v>727</v>
      </c>
    </row>
    <row r="10" spans="1:12" ht="30">
      <c r="A10" s="630" t="s">
        <v>403</v>
      </c>
      <c r="B10" s="481" t="s">
        <v>711</v>
      </c>
      <c r="D10" s="631" t="s">
        <v>430</v>
      </c>
      <c r="E10" s="481" t="s">
        <v>690</v>
      </c>
      <c r="F10" s="634">
        <v>1330001</v>
      </c>
    </row>
    <row r="11" spans="1:12" ht="30">
      <c r="A11" s="630" t="s">
        <v>402</v>
      </c>
      <c r="B11" s="481" t="s">
        <v>712</v>
      </c>
      <c r="D11" s="632" t="s">
        <v>685</v>
      </c>
      <c r="E11" s="481" t="s">
        <v>691</v>
      </c>
      <c r="F11" s="635">
        <v>2512001</v>
      </c>
    </row>
    <row r="12" spans="1:12" ht="30">
      <c r="A12" s="630" t="s">
        <v>404</v>
      </c>
      <c r="B12" s="481" t="s">
        <v>713</v>
      </c>
      <c r="D12" s="632" t="s">
        <v>685</v>
      </c>
      <c r="E12" s="481" t="s">
        <v>692</v>
      </c>
      <c r="F12" s="635">
        <v>2512002</v>
      </c>
    </row>
    <row r="13" spans="1:12">
      <c r="A13" s="630" t="s">
        <v>400</v>
      </c>
      <c r="B13" s="481" t="s">
        <v>714</v>
      </c>
      <c r="D13" s="632" t="s">
        <v>404</v>
      </c>
      <c r="E13" s="481" t="s">
        <v>693</v>
      </c>
      <c r="F13" s="635">
        <v>2511003</v>
      </c>
    </row>
    <row r="14" spans="1:12" ht="38.25">
      <c r="A14" s="630" t="s">
        <v>405</v>
      </c>
      <c r="B14" s="481" t="s">
        <v>715</v>
      </c>
      <c r="D14" s="632" t="s">
        <v>400</v>
      </c>
      <c r="E14" s="481" t="s">
        <v>694</v>
      </c>
      <c r="F14" s="635">
        <v>2511002</v>
      </c>
    </row>
    <row r="15" spans="1:12" ht="30">
      <c r="A15" s="630" t="s">
        <v>401</v>
      </c>
      <c r="B15" s="481" t="s">
        <v>716</v>
      </c>
      <c r="D15" s="632" t="s">
        <v>400</v>
      </c>
      <c r="E15" s="481" t="s">
        <v>695</v>
      </c>
      <c r="F15" s="635">
        <v>2521001</v>
      </c>
    </row>
    <row r="16" spans="1:12" ht="38.25">
      <c r="A16" s="630" t="s">
        <v>407</v>
      </c>
      <c r="B16" s="481" t="s">
        <v>717</v>
      </c>
      <c r="D16" s="631" t="s">
        <v>405</v>
      </c>
      <c r="E16" s="481" t="s">
        <v>696</v>
      </c>
      <c r="F16" s="635">
        <v>2421002</v>
      </c>
    </row>
    <row r="17" spans="1:6" ht="25.5">
      <c r="A17" s="630" t="s">
        <v>408</v>
      </c>
      <c r="B17" s="481" t="s">
        <v>718</v>
      </c>
      <c r="D17" s="631" t="s">
        <v>401</v>
      </c>
      <c r="E17" s="481" t="s">
        <v>401</v>
      </c>
      <c r="F17" s="635">
        <v>2519001</v>
      </c>
    </row>
    <row r="18" spans="1:6" ht="75">
      <c r="A18" s="630" t="s">
        <v>410</v>
      </c>
      <c r="B18" s="481" t="s">
        <v>719</v>
      </c>
      <c r="D18" s="631" t="s">
        <v>686</v>
      </c>
      <c r="E18" s="481" t="s">
        <v>700</v>
      </c>
      <c r="F18" s="635">
        <v>1330004</v>
      </c>
    </row>
    <row r="19" spans="1:6" ht="30">
      <c r="A19" s="630" t="s">
        <v>406</v>
      </c>
      <c r="B19" s="481" t="s">
        <v>720</v>
      </c>
      <c r="D19" s="632" t="s">
        <v>687</v>
      </c>
      <c r="E19" s="481" t="s">
        <v>697</v>
      </c>
      <c r="F19" s="635">
        <v>2523000</v>
      </c>
    </row>
    <row r="20" spans="1:6" ht="30">
      <c r="A20" s="630" t="s">
        <v>409</v>
      </c>
      <c r="B20" s="481" t="s">
        <v>721</v>
      </c>
      <c r="D20" s="632" t="s">
        <v>408</v>
      </c>
      <c r="E20" s="481" t="s">
        <v>695</v>
      </c>
      <c r="F20" s="635">
        <v>2521001</v>
      </c>
    </row>
    <row r="21" spans="1:6" ht="30">
      <c r="A21" s="630" t="s">
        <v>411</v>
      </c>
      <c r="B21" s="481" t="s">
        <v>722</v>
      </c>
      <c r="D21" s="632" t="s">
        <v>408</v>
      </c>
      <c r="E21" s="481" t="s">
        <v>698</v>
      </c>
      <c r="F21" s="635">
        <v>2521003</v>
      </c>
    </row>
    <row r="22" spans="1:6">
      <c r="D22" s="633" t="s">
        <v>688</v>
      </c>
      <c r="E22" s="481" t="s">
        <v>688</v>
      </c>
      <c r="F22" s="635">
        <v>2511001</v>
      </c>
    </row>
    <row r="23" spans="1:6" ht="60">
      <c r="D23" s="632" t="s">
        <v>689</v>
      </c>
      <c r="E23" s="481" t="s">
        <v>699</v>
      </c>
      <c r="F23" s="635">
        <v>2529001</v>
      </c>
    </row>
    <row r="24" spans="1:6">
      <c r="D24" s="633" t="s">
        <v>409</v>
      </c>
      <c r="F24" s="372"/>
    </row>
    <row r="25" spans="1:6" ht="30">
      <c r="D25" s="632" t="s">
        <v>723</v>
      </c>
      <c r="E25" s="481" t="s">
        <v>703</v>
      </c>
      <c r="F25" s="635">
        <v>7422003</v>
      </c>
    </row>
    <row r="26" spans="1:6" ht="75">
      <c r="D26" s="632" t="s">
        <v>723</v>
      </c>
      <c r="E26" s="481" t="s">
        <v>708</v>
      </c>
      <c r="F26" s="635">
        <v>2153003</v>
      </c>
    </row>
    <row r="27" spans="1:6" ht="60">
      <c r="D27" s="632" t="s">
        <v>723</v>
      </c>
      <c r="E27" s="481" t="s">
        <v>704</v>
      </c>
      <c r="F27" s="635">
        <v>2513003</v>
      </c>
    </row>
    <row r="28" spans="1:6" ht="60">
      <c r="D28" s="632" t="s">
        <v>723</v>
      </c>
      <c r="E28" s="481" t="s">
        <v>709</v>
      </c>
      <c r="F28" s="635">
        <v>4229</v>
      </c>
    </row>
    <row r="29" spans="1:6" ht="30">
      <c r="D29" s="632" t="s">
        <v>723</v>
      </c>
      <c r="E29" s="481" t="s">
        <v>705</v>
      </c>
      <c r="F29" s="372">
        <v>3511002</v>
      </c>
    </row>
    <row r="30" spans="1:6" ht="45">
      <c r="D30" s="632" t="s">
        <v>723</v>
      </c>
      <c r="E30" s="481" t="s">
        <v>706</v>
      </c>
      <c r="F30" s="372">
        <v>3512000</v>
      </c>
    </row>
    <row r="31" spans="1:6" ht="30">
      <c r="D31" s="632" t="s">
        <v>723</v>
      </c>
      <c r="E31" s="481" t="s">
        <v>707</v>
      </c>
      <c r="F31" s="372">
        <v>2514000</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árok2">
    <tabColor theme="0" tint="-0.34998626667073579"/>
  </sheetPr>
  <dimension ref="A1:D30"/>
  <sheetViews>
    <sheetView workbookViewId="0">
      <selection activeCell="D6" sqref="D6"/>
    </sheetView>
  </sheetViews>
  <sheetFormatPr defaultColWidth="8.7109375" defaultRowHeight="15"/>
  <cols>
    <col min="1" max="1" width="25.42578125" customWidth="1"/>
    <col min="2" max="2" width="79" bestFit="1" customWidth="1"/>
    <col min="3" max="3" width="13.28515625" customWidth="1"/>
    <col min="4" max="4" width="70" bestFit="1" customWidth="1"/>
  </cols>
  <sheetData>
    <row r="1" spans="1:4" ht="19.5" thickBot="1">
      <c r="A1" s="228" t="s">
        <v>212</v>
      </c>
      <c r="D1" s="644" t="s">
        <v>759</v>
      </c>
    </row>
    <row r="2" spans="1:4" ht="15.75" thickBot="1">
      <c r="A2" s="229" t="s">
        <v>216</v>
      </c>
      <c r="B2" s="230" t="s">
        <v>217</v>
      </c>
      <c r="C2" s="526" t="s">
        <v>505</v>
      </c>
      <c r="D2" s="231" t="s">
        <v>222</v>
      </c>
    </row>
    <row r="3" spans="1:4">
      <c r="A3" s="524" t="s">
        <v>503</v>
      </c>
      <c r="B3" s="232" t="s">
        <v>504</v>
      </c>
      <c r="C3" s="527"/>
      <c r="D3" s="196" t="s">
        <v>225</v>
      </c>
    </row>
    <row r="4" spans="1:4">
      <c r="A4" s="524" t="s">
        <v>213</v>
      </c>
      <c r="B4" s="232" t="s">
        <v>219</v>
      </c>
      <c r="C4" s="528"/>
      <c r="D4" s="196" t="s">
        <v>218</v>
      </c>
    </row>
    <row r="5" spans="1:4">
      <c r="A5" s="524" t="s">
        <v>475</v>
      </c>
      <c r="B5" s="232" t="s">
        <v>502</v>
      </c>
      <c r="C5" s="528"/>
      <c r="D5" s="194" t="s">
        <v>506</v>
      </c>
    </row>
    <row r="6" spans="1:4">
      <c r="A6" s="525" t="s">
        <v>474</v>
      </c>
      <c r="B6" s="233" t="s">
        <v>220</v>
      </c>
      <c r="C6" s="529"/>
      <c r="D6" s="234" t="s">
        <v>221</v>
      </c>
    </row>
    <row r="7" spans="1:4">
      <c r="A7" s="525" t="s">
        <v>476</v>
      </c>
      <c r="B7" s="233" t="s">
        <v>223</v>
      </c>
      <c r="C7" s="529"/>
      <c r="D7" s="234" t="s">
        <v>221</v>
      </c>
    </row>
    <row r="8" spans="1:4">
      <c r="A8" s="525" t="s">
        <v>477</v>
      </c>
      <c r="B8" s="233" t="s">
        <v>224</v>
      </c>
      <c r="C8" s="530"/>
      <c r="D8" s="194" t="s">
        <v>225</v>
      </c>
    </row>
    <row r="9" spans="1:4">
      <c r="A9" s="525" t="s">
        <v>478</v>
      </c>
      <c r="B9" s="233" t="s">
        <v>493</v>
      </c>
      <c r="C9" s="531"/>
      <c r="D9" s="194" t="s">
        <v>225</v>
      </c>
    </row>
    <row r="10" spans="1:4">
      <c r="A10" s="525" t="s">
        <v>479</v>
      </c>
      <c r="B10" s="233" t="s">
        <v>494</v>
      </c>
      <c r="C10" s="531"/>
      <c r="D10" s="194" t="s">
        <v>225</v>
      </c>
    </row>
    <row r="11" spans="1:4">
      <c r="A11" s="525" t="s">
        <v>480</v>
      </c>
      <c r="B11" s="233" t="s">
        <v>495</v>
      </c>
      <c r="C11" s="531"/>
      <c r="D11" s="523" t="s">
        <v>225</v>
      </c>
    </row>
    <row r="12" spans="1:4">
      <c r="A12" s="525" t="s">
        <v>481</v>
      </c>
      <c r="B12" s="233" t="s">
        <v>496</v>
      </c>
      <c r="C12" s="531"/>
      <c r="D12" s="194" t="s">
        <v>225</v>
      </c>
    </row>
    <row r="13" spans="1:4">
      <c r="A13" s="525" t="s">
        <v>482</v>
      </c>
      <c r="B13" s="233" t="s">
        <v>497</v>
      </c>
      <c r="C13" s="531"/>
      <c r="D13" s="194" t="s">
        <v>225</v>
      </c>
    </row>
    <row r="14" spans="1:4">
      <c r="A14" s="525" t="s">
        <v>483</v>
      </c>
      <c r="B14" s="233" t="s">
        <v>498</v>
      </c>
      <c r="C14" s="531"/>
      <c r="D14" s="194" t="s">
        <v>225</v>
      </c>
    </row>
    <row r="15" spans="1:4">
      <c r="A15" s="525" t="s">
        <v>484</v>
      </c>
      <c r="B15" s="233" t="s">
        <v>499</v>
      </c>
      <c r="C15" s="532"/>
      <c r="D15" s="194" t="s">
        <v>225</v>
      </c>
    </row>
    <row r="16" spans="1:4">
      <c r="A16" s="525" t="s">
        <v>485</v>
      </c>
      <c r="B16" s="233" t="s">
        <v>500</v>
      </c>
      <c r="C16" s="532"/>
      <c r="D16" s="194" t="s">
        <v>225</v>
      </c>
    </row>
    <row r="17" spans="1:4">
      <c r="A17" s="525" t="s">
        <v>486</v>
      </c>
      <c r="B17" s="233" t="s">
        <v>244</v>
      </c>
      <c r="C17" s="532"/>
      <c r="D17" s="194" t="s">
        <v>225</v>
      </c>
    </row>
    <row r="18" spans="1:4">
      <c r="A18" s="525" t="s">
        <v>487</v>
      </c>
      <c r="B18" s="233" t="s">
        <v>245</v>
      </c>
      <c r="C18" s="532"/>
      <c r="D18" s="194" t="s">
        <v>225</v>
      </c>
    </row>
    <row r="19" spans="1:4">
      <c r="A19" s="525" t="s">
        <v>488</v>
      </c>
      <c r="B19" s="233" t="s">
        <v>501</v>
      </c>
      <c r="C19" s="532"/>
      <c r="D19" s="194" t="s">
        <v>225</v>
      </c>
    </row>
    <row r="20" spans="1:4">
      <c r="A20" s="525" t="s">
        <v>214</v>
      </c>
      <c r="B20" s="233" t="s">
        <v>226</v>
      </c>
      <c r="C20" s="529"/>
      <c r="D20" s="234" t="s">
        <v>221</v>
      </c>
    </row>
    <row r="21" spans="1:4">
      <c r="A21" s="525" t="s">
        <v>489</v>
      </c>
      <c r="B21" s="233" t="s">
        <v>227</v>
      </c>
      <c r="C21" s="533"/>
      <c r="D21" s="194" t="s">
        <v>225</v>
      </c>
    </row>
    <row r="22" spans="1:4">
      <c r="A22" s="525" t="s">
        <v>490</v>
      </c>
      <c r="B22" s="233" t="s">
        <v>228</v>
      </c>
      <c r="C22" s="533"/>
      <c r="D22" s="194" t="s">
        <v>225</v>
      </c>
    </row>
    <row r="23" spans="1:4">
      <c r="A23" s="525" t="s">
        <v>491</v>
      </c>
      <c r="B23" s="233" t="s">
        <v>229</v>
      </c>
      <c r="C23" s="533"/>
      <c r="D23" s="194" t="s">
        <v>225</v>
      </c>
    </row>
    <row r="24" spans="1:4">
      <c r="A24" s="525" t="s">
        <v>492</v>
      </c>
      <c r="B24" s="233" t="s">
        <v>230</v>
      </c>
      <c r="C24" s="533"/>
      <c r="D24" s="194" t="s">
        <v>225</v>
      </c>
    </row>
    <row r="25" spans="1:4">
      <c r="A25" s="525" t="s">
        <v>215</v>
      </c>
      <c r="B25" s="233" t="s">
        <v>231</v>
      </c>
      <c r="C25" s="533"/>
      <c r="D25" s="194" t="s">
        <v>232</v>
      </c>
    </row>
    <row r="26" spans="1:4">
      <c r="A26" s="525" t="s">
        <v>516</v>
      </c>
      <c r="B26" s="233" t="s">
        <v>517</v>
      </c>
      <c r="C26" s="596"/>
      <c r="D26" s="194" t="s">
        <v>518</v>
      </c>
    </row>
    <row r="27" spans="1:4">
      <c r="A27" s="597" t="s">
        <v>520</v>
      </c>
      <c r="B27" s="233" t="s">
        <v>521</v>
      </c>
      <c r="C27" s="596"/>
      <c r="D27" s="194" t="s">
        <v>526</v>
      </c>
    </row>
    <row r="28" spans="1:4">
      <c r="A28" s="597" t="s">
        <v>522</v>
      </c>
      <c r="B28" s="233" t="s">
        <v>523</v>
      </c>
      <c r="C28" s="596"/>
      <c r="D28" s="194" t="s">
        <v>527</v>
      </c>
    </row>
    <row r="29" spans="1:4">
      <c r="A29" s="597" t="s">
        <v>524</v>
      </c>
      <c r="B29" s="233" t="s">
        <v>525</v>
      </c>
      <c r="C29" s="596"/>
      <c r="D29" s="194" t="s">
        <v>527</v>
      </c>
    </row>
    <row r="30" spans="1:4">
      <c r="A30" s="525" t="s">
        <v>519</v>
      </c>
      <c r="B30" s="233" t="s">
        <v>223</v>
      </c>
      <c r="C30" s="596"/>
      <c r="D30" s="234" t="s">
        <v>221</v>
      </c>
    </row>
  </sheetData>
  <hyperlinks>
    <hyperlink ref="A4" location="Sumarizácia!R1C1" display="Sumarizácia" xr:uid="{00000000-0004-0000-0100-000000000000}"/>
    <hyperlink ref="A6" location="'CBA - Agendové IS'!R1C1" display="CBA" xr:uid="{00000000-0004-0000-0100-000001000000}"/>
    <hyperlink ref="A7" location="'Analyza citlivosti - AgendovéIS'!R1C1" display="Analyza citlivosti" xr:uid="{00000000-0004-0000-0100-000002000000}"/>
    <hyperlink ref="A3" location="Úvod!A10" display="Úvod" xr:uid="{00000000-0004-0000-0100-000003000000}"/>
    <hyperlink ref="A5" location="'Zdroje Financovania'!A1" display="Zdroje Financovania" xr:uid="{00000000-0004-0000-0100-000004000000}"/>
    <hyperlink ref="A8" location="'Parametre - Agendové IS'!A1" display="Parametre - Agendové IS" xr:uid="{00000000-0004-0000-0100-000005000000}"/>
    <hyperlink ref="A9" location="MODULY_CBA!A1" display="MODULY_CBA" xr:uid="{00000000-0004-0000-0100-000006000000}"/>
    <hyperlink ref="A10" location="INKREMENTY!A1" display="INKREMENTY" xr:uid="{00000000-0004-0000-0100-000007000000}"/>
    <hyperlink ref="A11" location="KATALOG_POZIADAVKY!A1" display="KATALOG_POZIADAVKY" xr:uid="{00000000-0004-0000-0100-000008000000}"/>
    <hyperlink ref="A12" location="TCF_v02!A1" display="TCF_v02" xr:uid="{00000000-0004-0000-0100-000009000000}"/>
    <hyperlink ref="A13" location="ECF_v02!A1" display="ECF_v02" xr:uid="{00000000-0004-0000-0100-00000A000000}"/>
    <hyperlink ref="A14" location="UAW_v02!A1" display="UAW_v02" xr:uid="{00000000-0004-0000-0100-00000B000000}"/>
    <hyperlink ref="A15" location="AKTIVITY_POZICIE!A1" display="AKTIVITY_POZICIE" xr:uid="{00000000-0004-0000-0100-00000C000000}"/>
    <hyperlink ref="A16" location="POZICIE_INTERNE!A1" display="POZICIE_INTERNE" xr:uid="{00000000-0004-0000-0100-00000D000000}"/>
    <hyperlink ref="A17" location="'Rozpocet - Vyvoj aplikacii'!A1" display="Rozpocet - Vyvoj aplikacii" xr:uid="{00000000-0004-0000-0100-00000E000000}"/>
    <hyperlink ref="A18" location="'Rozpočet - HW a licencie'!A1" display="Rozpocet - HW a licencie" xr:uid="{00000000-0004-0000-0100-00000F000000}"/>
    <hyperlink ref="A19" location="Harmonogram!A1" display="Harmonogram" xr:uid="{00000000-0004-0000-0100-000010000000}"/>
    <hyperlink ref="A20" location="TCO!A1" display="TCO" xr:uid="{00000000-0004-0000-0100-000011000000}"/>
    <hyperlink ref="A21" location="'TCO AS IS - SW'!A1" display="TCO AS IS - SW" xr:uid="{00000000-0004-0000-0100-000012000000}"/>
    <hyperlink ref="A22" location="'TCO AS IS - HW'!A1" display="TCO AS IS - HW" xr:uid="{00000000-0004-0000-0100-000013000000}"/>
    <hyperlink ref="A23" location="'TCO TO BE- SW'!A1" display="TCO TO BE - SW" xr:uid="{00000000-0004-0000-0100-000014000000}"/>
    <hyperlink ref="A24" location="'TCO TO BE - HW'!A1" display="TCO TO BE - HW" xr:uid="{00000000-0004-0000-0100-000015000000}"/>
    <hyperlink ref="A25" location="Faktory!A1" display="Faktory" xr:uid="{00000000-0004-0000-0100-000016000000}"/>
    <hyperlink ref="A27" location="'Procesné mapy'!R1C1" display="Procesné mapy" xr:uid="{00000000-0004-0000-0100-000017000000}"/>
    <hyperlink ref="A28" location="'Procesy - AS IS'!R1C1" display="Procesy AS IS" xr:uid="{00000000-0004-0000-0100-000018000000}"/>
    <hyperlink ref="A29" location="'Procesy - TO BE'!R1C1" display="Procesy TO BE" xr:uid="{00000000-0004-0000-0100-000019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árok14">
    <tabColor rgb="FF00B050"/>
  </sheetPr>
  <dimension ref="A1:J105"/>
  <sheetViews>
    <sheetView zoomScaleNormal="100" workbookViewId="0">
      <pane ySplit="2" topLeftCell="A3" activePane="bottomLeft" state="frozen"/>
      <selection pane="bottomLeft" activeCell="H8" sqref="H8"/>
    </sheetView>
  </sheetViews>
  <sheetFormatPr defaultColWidth="8.7109375" defaultRowHeight="15"/>
  <cols>
    <col min="1" max="1" width="17.42578125" style="365" bestFit="1" customWidth="1"/>
    <col min="2" max="2" width="51.42578125" style="365" customWidth="1"/>
    <col min="3" max="3" width="12.42578125" style="365" customWidth="1"/>
    <col min="4" max="4" width="16.28515625" style="365" bestFit="1" customWidth="1"/>
    <col min="5" max="5" width="13.42578125" style="365" bestFit="1" customWidth="1"/>
    <col min="6" max="6" width="8.7109375" style="365"/>
    <col min="7" max="7" width="12.7109375" style="365" bestFit="1" customWidth="1"/>
    <col min="8" max="8" width="18.28515625" style="365" bestFit="1" customWidth="1"/>
    <col min="9" max="9" width="18.5703125" style="365" bestFit="1" customWidth="1"/>
    <col min="10" max="10" width="48.7109375" style="365" customWidth="1"/>
    <col min="11" max="16384" width="8.7109375" style="365"/>
  </cols>
  <sheetData>
    <row r="1" spans="1:10" ht="15.75" thickBot="1">
      <c r="I1" s="445">
        <f>SUM(I3:I105)</f>
        <v>2287822.4</v>
      </c>
    </row>
    <row r="2" spans="1:10" ht="15.75" thickBot="1">
      <c r="A2" s="438" t="s">
        <v>260</v>
      </c>
      <c r="B2" s="439" t="s">
        <v>241</v>
      </c>
      <c r="C2" s="439" t="s">
        <v>305</v>
      </c>
      <c r="D2" s="439" t="s">
        <v>308</v>
      </c>
      <c r="E2" s="439" t="s">
        <v>242</v>
      </c>
      <c r="F2" s="439" t="s">
        <v>243</v>
      </c>
      <c r="G2" s="439" t="s">
        <v>293</v>
      </c>
      <c r="H2" s="440" t="s">
        <v>306</v>
      </c>
      <c r="I2" s="440" t="s">
        <v>307</v>
      </c>
      <c r="J2" s="439" t="s">
        <v>310</v>
      </c>
    </row>
    <row r="3" spans="1:10">
      <c r="A3" s="564" t="s">
        <v>780</v>
      </c>
      <c r="B3" s="561" t="s">
        <v>808</v>
      </c>
      <c r="C3" s="561" t="s">
        <v>65</v>
      </c>
      <c r="D3" s="561" t="s">
        <v>71</v>
      </c>
      <c r="E3" s="562" t="s">
        <v>753</v>
      </c>
      <c r="F3" s="562">
        <v>121240</v>
      </c>
      <c r="G3" s="562">
        <v>2</v>
      </c>
      <c r="H3" s="563">
        <v>10.9</v>
      </c>
      <c r="I3" s="441">
        <f>H3*F3</f>
        <v>1321516</v>
      </c>
      <c r="J3" s="566" t="s">
        <v>798</v>
      </c>
    </row>
    <row r="4" spans="1:10">
      <c r="A4" s="564" t="s">
        <v>780</v>
      </c>
      <c r="B4" s="561" t="s">
        <v>809</v>
      </c>
      <c r="C4" s="561" t="s">
        <v>65</v>
      </c>
      <c r="D4" s="561" t="s">
        <v>71</v>
      </c>
      <c r="E4" s="562" t="s">
        <v>753</v>
      </c>
      <c r="F4" s="562">
        <v>61240</v>
      </c>
      <c r="G4" s="562">
        <v>1</v>
      </c>
      <c r="H4" s="563">
        <v>10.9</v>
      </c>
      <c r="I4" s="441">
        <f>H4*F4</f>
        <v>667516</v>
      </c>
      <c r="J4" s="566" t="s">
        <v>798</v>
      </c>
    </row>
    <row r="5" spans="1:10">
      <c r="A5" s="564" t="s">
        <v>780</v>
      </c>
      <c r="B5" s="561" t="s">
        <v>792</v>
      </c>
      <c r="C5" s="561" t="s">
        <v>65</v>
      </c>
      <c r="D5" s="561" t="s">
        <v>71</v>
      </c>
      <c r="E5" s="562" t="s">
        <v>753</v>
      </c>
      <c r="F5" s="562">
        <v>26760</v>
      </c>
      <c r="G5" s="562">
        <v>1</v>
      </c>
      <c r="H5" s="563">
        <v>4.54</v>
      </c>
      <c r="I5" s="441">
        <f t="shared" ref="I5:I6" si="0">H5*F5</f>
        <v>121490.4</v>
      </c>
      <c r="J5" s="566" t="s">
        <v>802</v>
      </c>
    </row>
    <row r="6" spans="1:10">
      <c r="A6" s="564" t="s">
        <v>780</v>
      </c>
      <c r="B6" s="561" t="s">
        <v>793</v>
      </c>
      <c r="C6" s="561" t="s">
        <v>65</v>
      </c>
      <c r="D6" s="561" t="s">
        <v>71</v>
      </c>
      <c r="E6" s="562" t="s">
        <v>753</v>
      </c>
      <c r="F6" s="562">
        <v>2000</v>
      </c>
      <c r="G6" s="562">
        <v>1</v>
      </c>
      <c r="H6" s="563">
        <v>3.15</v>
      </c>
      <c r="I6" s="441">
        <f t="shared" si="0"/>
        <v>6300</v>
      </c>
      <c r="J6" s="566" t="s">
        <v>802</v>
      </c>
    </row>
    <row r="7" spans="1:10">
      <c r="A7" s="564" t="s">
        <v>796</v>
      </c>
      <c r="B7" s="561" t="s">
        <v>784</v>
      </c>
      <c r="C7" s="561" t="s">
        <v>65</v>
      </c>
      <c r="D7" s="561" t="s">
        <v>71</v>
      </c>
      <c r="E7" s="562" t="s">
        <v>753</v>
      </c>
      <c r="F7" s="562">
        <v>50000</v>
      </c>
      <c r="G7" s="562">
        <v>1</v>
      </c>
      <c r="H7" s="563">
        <v>3</v>
      </c>
      <c r="I7" s="441">
        <f t="shared" ref="I7:I32" si="1">H7*F7</f>
        <v>150000</v>
      </c>
      <c r="J7" s="566" t="s">
        <v>798</v>
      </c>
    </row>
    <row r="8" spans="1:10" ht="60">
      <c r="A8" s="564" t="s">
        <v>797</v>
      </c>
      <c r="B8" s="669" t="s">
        <v>785</v>
      </c>
      <c r="C8" s="561" t="s">
        <v>65</v>
      </c>
      <c r="D8" s="561" t="s">
        <v>71</v>
      </c>
      <c r="E8" s="562" t="s">
        <v>11</v>
      </c>
      <c r="F8" s="562">
        <v>1</v>
      </c>
      <c r="G8" s="562">
        <v>1</v>
      </c>
      <c r="H8" s="563">
        <v>3000</v>
      </c>
      <c r="I8" s="441">
        <f t="shared" si="1"/>
        <v>3000</v>
      </c>
      <c r="J8" s="670" t="s">
        <v>799</v>
      </c>
    </row>
    <row r="9" spans="1:10" ht="60">
      <c r="A9" s="564" t="s">
        <v>797</v>
      </c>
      <c r="B9" s="669" t="s">
        <v>794</v>
      </c>
      <c r="C9" s="561" t="s">
        <v>65</v>
      </c>
      <c r="D9" s="561" t="s">
        <v>71</v>
      </c>
      <c r="E9" s="562" t="s">
        <v>11</v>
      </c>
      <c r="F9" s="562">
        <v>1</v>
      </c>
      <c r="G9" s="562">
        <v>2</v>
      </c>
      <c r="H9" s="563">
        <v>6000</v>
      </c>
      <c r="I9" s="441">
        <f t="shared" si="1"/>
        <v>6000</v>
      </c>
      <c r="J9" s="670" t="s">
        <v>800</v>
      </c>
    </row>
    <row r="10" spans="1:10" ht="60">
      <c r="A10" s="564" t="s">
        <v>797</v>
      </c>
      <c r="B10" s="669" t="s">
        <v>795</v>
      </c>
      <c r="C10" s="561" t="s">
        <v>65</v>
      </c>
      <c r="D10" s="561" t="s">
        <v>71</v>
      </c>
      <c r="E10" s="562" t="s">
        <v>11</v>
      </c>
      <c r="F10" s="562">
        <v>1</v>
      </c>
      <c r="G10" s="562">
        <v>3</v>
      </c>
      <c r="H10" s="563">
        <v>12000</v>
      </c>
      <c r="I10" s="441">
        <f t="shared" si="1"/>
        <v>12000</v>
      </c>
      <c r="J10" s="670" t="s">
        <v>801</v>
      </c>
    </row>
    <row r="11" spans="1:10">
      <c r="A11" s="564"/>
      <c r="B11" s="561"/>
      <c r="C11" s="561"/>
      <c r="D11" s="561"/>
      <c r="E11" s="562"/>
      <c r="F11" s="562"/>
      <c r="G11" s="562"/>
      <c r="H11" s="563"/>
      <c r="I11" s="441">
        <f t="shared" si="1"/>
        <v>0</v>
      </c>
      <c r="J11" s="566"/>
    </row>
    <row r="12" spans="1:10">
      <c r="A12" s="564"/>
      <c r="B12" s="561"/>
      <c r="C12" s="561"/>
      <c r="D12" s="561"/>
      <c r="E12" s="562"/>
      <c r="F12" s="562"/>
      <c r="G12" s="562"/>
      <c r="H12" s="563"/>
      <c r="I12" s="441">
        <f t="shared" si="1"/>
        <v>0</v>
      </c>
      <c r="J12" s="566"/>
    </row>
    <row r="13" spans="1:10">
      <c r="A13" s="564"/>
      <c r="B13" s="561"/>
      <c r="C13" s="561"/>
      <c r="D13" s="561"/>
      <c r="E13" s="562"/>
      <c r="F13" s="562"/>
      <c r="G13" s="562"/>
      <c r="H13" s="563"/>
      <c r="I13" s="441">
        <f t="shared" si="1"/>
        <v>0</v>
      </c>
      <c r="J13" s="566"/>
    </row>
    <row r="14" spans="1:10">
      <c r="A14" s="564"/>
      <c r="B14" s="561"/>
      <c r="C14" s="561"/>
      <c r="D14" s="561"/>
      <c r="E14" s="562"/>
      <c r="F14" s="562"/>
      <c r="G14" s="562"/>
      <c r="H14" s="563"/>
      <c r="I14" s="441">
        <f t="shared" si="1"/>
        <v>0</v>
      </c>
      <c r="J14" s="566"/>
    </row>
    <row r="15" spans="1:10">
      <c r="A15" s="564"/>
      <c r="B15" s="561"/>
      <c r="C15" s="561"/>
      <c r="D15" s="561"/>
      <c r="E15" s="562"/>
      <c r="F15" s="562"/>
      <c r="G15" s="562"/>
      <c r="H15" s="563"/>
      <c r="I15" s="441">
        <f t="shared" si="1"/>
        <v>0</v>
      </c>
      <c r="J15" s="566"/>
    </row>
    <row r="16" spans="1:10">
      <c r="A16" s="564"/>
      <c r="B16" s="561"/>
      <c r="C16" s="561"/>
      <c r="D16" s="561"/>
      <c r="E16" s="562"/>
      <c r="F16" s="562"/>
      <c r="G16" s="562"/>
      <c r="H16" s="563"/>
      <c r="I16" s="441">
        <f t="shared" si="1"/>
        <v>0</v>
      </c>
      <c r="J16" s="566"/>
    </row>
    <row r="17" spans="1:10">
      <c r="A17" s="564"/>
      <c r="B17" s="561"/>
      <c r="C17" s="561"/>
      <c r="D17" s="561"/>
      <c r="E17" s="562"/>
      <c r="F17" s="562"/>
      <c r="G17" s="562"/>
      <c r="H17" s="563"/>
      <c r="I17" s="441">
        <f t="shared" si="1"/>
        <v>0</v>
      </c>
      <c r="J17" s="566"/>
    </row>
    <row r="18" spans="1:10">
      <c r="A18" s="564"/>
      <c r="B18" s="561"/>
      <c r="C18" s="561"/>
      <c r="D18" s="561"/>
      <c r="E18" s="562"/>
      <c r="F18" s="562"/>
      <c r="G18" s="562"/>
      <c r="H18" s="563"/>
      <c r="I18" s="441">
        <f t="shared" si="1"/>
        <v>0</v>
      </c>
      <c r="J18" s="566"/>
    </row>
    <row r="19" spans="1:10">
      <c r="A19" s="564"/>
      <c r="B19" s="561"/>
      <c r="C19" s="561"/>
      <c r="D19" s="561"/>
      <c r="E19" s="562"/>
      <c r="F19" s="562"/>
      <c r="G19" s="562"/>
      <c r="H19" s="563"/>
      <c r="I19" s="441">
        <f t="shared" si="1"/>
        <v>0</v>
      </c>
      <c r="J19" s="566"/>
    </row>
    <row r="20" spans="1:10">
      <c r="A20" s="564"/>
      <c r="B20" s="561"/>
      <c r="C20" s="561"/>
      <c r="D20" s="561"/>
      <c r="E20" s="562"/>
      <c r="F20" s="562"/>
      <c r="G20" s="562"/>
      <c r="H20" s="563"/>
      <c r="I20" s="441">
        <f t="shared" si="1"/>
        <v>0</v>
      </c>
      <c r="J20" s="566"/>
    </row>
    <row r="21" spans="1:10">
      <c r="A21" s="564"/>
      <c r="B21" s="561"/>
      <c r="C21" s="561"/>
      <c r="D21" s="561"/>
      <c r="E21" s="562"/>
      <c r="F21" s="562"/>
      <c r="G21" s="562"/>
      <c r="H21" s="563"/>
      <c r="I21" s="441">
        <f t="shared" si="1"/>
        <v>0</v>
      </c>
      <c r="J21" s="566"/>
    </row>
    <row r="22" spans="1:10">
      <c r="A22" s="564"/>
      <c r="B22" s="561"/>
      <c r="C22" s="561"/>
      <c r="D22" s="561"/>
      <c r="E22" s="562"/>
      <c r="F22" s="562"/>
      <c r="G22" s="562"/>
      <c r="H22" s="563"/>
      <c r="I22" s="441">
        <f t="shared" si="1"/>
        <v>0</v>
      </c>
      <c r="J22" s="566"/>
    </row>
    <row r="23" spans="1:10">
      <c r="A23" s="564"/>
      <c r="B23" s="561"/>
      <c r="C23" s="561"/>
      <c r="D23" s="561"/>
      <c r="E23" s="562"/>
      <c r="F23" s="562"/>
      <c r="G23" s="562"/>
      <c r="H23" s="563"/>
      <c r="I23" s="441">
        <f t="shared" si="1"/>
        <v>0</v>
      </c>
      <c r="J23" s="566"/>
    </row>
    <row r="24" spans="1:10">
      <c r="A24" s="564"/>
      <c r="B24" s="561"/>
      <c r="C24" s="561"/>
      <c r="D24" s="561"/>
      <c r="E24" s="562"/>
      <c r="F24" s="562"/>
      <c r="G24" s="562"/>
      <c r="H24" s="563"/>
      <c r="I24" s="441">
        <f t="shared" si="1"/>
        <v>0</v>
      </c>
      <c r="J24" s="566"/>
    </row>
    <row r="25" spans="1:10">
      <c r="A25" s="564"/>
      <c r="B25" s="561"/>
      <c r="C25" s="561"/>
      <c r="D25" s="561"/>
      <c r="E25" s="562"/>
      <c r="F25" s="562"/>
      <c r="G25" s="562"/>
      <c r="H25" s="563"/>
      <c r="I25" s="441">
        <f t="shared" si="1"/>
        <v>0</v>
      </c>
      <c r="J25" s="566"/>
    </row>
    <row r="26" spans="1:10">
      <c r="A26" s="564"/>
      <c r="B26" s="561"/>
      <c r="C26" s="561"/>
      <c r="D26" s="561"/>
      <c r="E26" s="562"/>
      <c r="F26" s="562"/>
      <c r="G26" s="562"/>
      <c r="H26" s="563"/>
      <c r="I26" s="441">
        <f t="shared" si="1"/>
        <v>0</v>
      </c>
      <c r="J26" s="566"/>
    </row>
    <row r="27" spans="1:10">
      <c r="A27" s="564"/>
      <c r="B27" s="561"/>
      <c r="C27" s="561"/>
      <c r="D27" s="561"/>
      <c r="E27" s="562"/>
      <c r="F27" s="562"/>
      <c r="G27" s="562"/>
      <c r="H27" s="563"/>
      <c r="I27" s="441">
        <f t="shared" si="1"/>
        <v>0</v>
      </c>
      <c r="J27" s="566"/>
    </row>
    <row r="28" spans="1:10">
      <c r="A28" s="564"/>
      <c r="B28" s="561"/>
      <c r="C28" s="561"/>
      <c r="D28" s="561"/>
      <c r="E28" s="562"/>
      <c r="F28" s="562"/>
      <c r="G28" s="562"/>
      <c r="H28" s="563"/>
      <c r="I28" s="441">
        <f t="shared" si="1"/>
        <v>0</v>
      </c>
      <c r="J28" s="566"/>
    </row>
    <row r="29" spans="1:10">
      <c r="A29" s="564"/>
      <c r="B29" s="561"/>
      <c r="C29" s="561"/>
      <c r="D29" s="561"/>
      <c r="E29" s="562"/>
      <c r="F29" s="562"/>
      <c r="G29" s="562"/>
      <c r="H29" s="563"/>
      <c r="I29" s="441">
        <f t="shared" si="1"/>
        <v>0</v>
      </c>
      <c r="J29" s="566"/>
    </row>
    <row r="30" spans="1:10">
      <c r="A30" s="560"/>
      <c r="B30" s="561"/>
      <c r="C30" s="561"/>
      <c r="D30" s="561"/>
      <c r="E30" s="562"/>
      <c r="F30" s="562"/>
      <c r="G30" s="562"/>
      <c r="H30" s="563"/>
      <c r="I30" s="441">
        <f t="shared" si="1"/>
        <v>0</v>
      </c>
      <c r="J30" s="566"/>
    </row>
    <row r="31" spans="1:10">
      <c r="A31" s="560"/>
      <c r="B31" s="561"/>
      <c r="C31" s="561"/>
      <c r="D31" s="561"/>
      <c r="E31" s="562"/>
      <c r="F31" s="562"/>
      <c r="G31" s="562"/>
      <c r="H31" s="563"/>
      <c r="I31" s="441">
        <f t="shared" si="1"/>
        <v>0</v>
      </c>
      <c r="J31" s="566"/>
    </row>
    <row r="32" spans="1:10">
      <c r="A32" s="564"/>
      <c r="B32" s="561"/>
      <c r="C32" s="561"/>
      <c r="D32" s="561"/>
      <c r="E32" s="562"/>
      <c r="F32" s="562"/>
      <c r="G32" s="562"/>
      <c r="H32" s="563"/>
      <c r="I32" s="441">
        <f t="shared" si="1"/>
        <v>0</v>
      </c>
      <c r="J32" s="566"/>
    </row>
    <row r="33" spans="1:10">
      <c r="A33" s="564"/>
      <c r="B33" s="561"/>
      <c r="C33" s="561"/>
      <c r="D33" s="561"/>
      <c r="E33" s="562"/>
      <c r="F33" s="562"/>
      <c r="G33" s="562"/>
      <c r="H33" s="565"/>
      <c r="I33" s="441">
        <f t="shared" ref="I33:I96" si="2">H33*F33</f>
        <v>0</v>
      </c>
      <c r="J33" s="566"/>
    </row>
    <row r="34" spans="1:10">
      <c r="A34" s="564"/>
      <c r="B34" s="561"/>
      <c r="C34" s="561"/>
      <c r="D34" s="561"/>
      <c r="E34" s="562"/>
      <c r="F34" s="562"/>
      <c r="G34" s="562"/>
      <c r="H34" s="565"/>
      <c r="I34" s="441">
        <f t="shared" si="2"/>
        <v>0</v>
      </c>
      <c r="J34" s="566"/>
    </row>
    <row r="35" spans="1:10">
      <c r="A35" s="564"/>
      <c r="B35" s="561"/>
      <c r="C35" s="561"/>
      <c r="D35" s="561"/>
      <c r="E35" s="562"/>
      <c r="F35" s="562"/>
      <c r="G35" s="562"/>
      <c r="H35" s="565"/>
      <c r="I35" s="441">
        <f t="shared" si="2"/>
        <v>0</v>
      </c>
      <c r="J35" s="566"/>
    </row>
    <row r="36" spans="1:10">
      <c r="A36" s="564"/>
      <c r="B36" s="561"/>
      <c r="C36" s="561"/>
      <c r="D36" s="561"/>
      <c r="E36" s="562"/>
      <c r="F36" s="562"/>
      <c r="G36" s="562"/>
      <c r="H36" s="565"/>
      <c r="I36" s="441">
        <f t="shared" si="2"/>
        <v>0</v>
      </c>
      <c r="J36" s="566"/>
    </row>
    <row r="37" spans="1:10">
      <c r="A37" s="564"/>
      <c r="B37" s="561"/>
      <c r="C37" s="561"/>
      <c r="D37" s="561"/>
      <c r="E37" s="562"/>
      <c r="F37" s="562"/>
      <c r="G37" s="562"/>
      <c r="H37" s="565"/>
      <c r="I37" s="441">
        <f t="shared" si="2"/>
        <v>0</v>
      </c>
      <c r="J37" s="566"/>
    </row>
    <row r="38" spans="1:10">
      <c r="A38" s="564"/>
      <c r="B38" s="561"/>
      <c r="C38" s="561"/>
      <c r="D38" s="561"/>
      <c r="E38" s="562"/>
      <c r="F38" s="562"/>
      <c r="G38" s="562"/>
      <c r="H38" s="565"/>
      <c r="I38" s="441">
        <f t="shared" si="2"/>
        <v>0</v>
      </c>
      <c r="J38" s="566"/>
    </row>
    <row r="39" spans="1:10">
      <c r="A39" s="564"/>
      <c r="B39" s="561"/>
      <c r="C39" s="561"/>
      <c r="D39" s="561"/>
      <c r="E39" s="562"/>
      <c r="F39" s="562"/>
      <c r="G39" s="562"/>
      <c r="H39" s="565"/>
      <c r="I39" s="441">
        <f t="shared" si="2"/>
        <v>0</v>
      </c>
      <c r="J39" s="566"/>
    </row>
    <row r="40" spans="1:10">
      <c r="A40" s="564"/>
      <c r="B40" s="561"/>
      <c r="C40" s="561"/>
      <c r="D40" s="561"/>
      <c r="E40" s="562"/>
      <c r="F40" s="562"/>
      <c r="G40" s="562"/>
      <c r="H40" s="565"/>
      <c r="I40" s="441">
        <f t="shared" si="2"/>
        <v>0</v>
      </c>
      <c r="J40" s="566"/>
    </row>
    <row r="41" spans="1:10">
      <c r="A41" s="564"/>
      <c r="B41" s="561"/>
      <c r="C41" s="561"/>
      <c r="D41" s="561"/>
      <c r="E41" s="562"/>
      <c r="F41" s="562"/>
      <c r="G41" s="562"/>
      <c r="H41" s="565"/>
      <c r="I41" s="441">
        <f t="shared" si="2"/>
        <v>0</v>
      </c>
      <c r="J41" s="566"/>
    </row>
    <row r="42" spans="1:10">
      <c r="A42" s="564"/>
      <c r="B42" s="561"/>
      <c r="C42" s="561"/>
      <c r="D42" s="561"/>
      <c r="E42" s="562"/>
      <c r="F42" s="562"/>
      <c r="G42" s="562"/>
      <c r="H42" s="565"/>
      <c r="I42" s="441">
        <f t="shared" si="2"/>
        <v>0</v>
      </c>
      <c r="J42" s="566"/>
    </row>
    <row r="43" spans="1:10">
      <c r="A43" s="564"/>
      <c r="B43" s="561"/>
      <c r="C43" s="561"/>
      <c r="D43" s="561"/>
      <c r="E43" s="562"/>
      <c r="F43" s="562"/>
      <c r="G43" s="562"/>
      <c r="H43" s="565"/>
      <c r="I43" s="441">
        <f t="shared" si="2"/>
        <v>0</v>
      </c>
      <c r="J43" s="566"/>
    </row>
    <row r="44" spans="1:10">
      <c r="A44" s="564"/>
      <c r="B44" s="561"/>
      <c r="C44" s="561"/>
      <c r="D44" s="561"/>
      <c r="E44" s="562"/>
      <c r="F44" s="562"/>
      <c r="G44" s="562"/>
      <c r="H44" s="565"/>
      <c r="I44" s="441">
        <f t="shared" si="2"/>
        <v>0</v>
      </c>
      <c r="J44" s="566"/>
    </row>
    <row r="45" spans="1:10">
      <c r="A45" s="564"/>
      <c r="B45" s="561"/>
      <c r="C45" s="561"/>
      <c r="D45" s="561"/>
      <c r="E45" s="562"/>
      <c r="F45" s="562"/>
      <c r="G45" s="562"/>
      <c r="H45" s="565"/>
      <c r="I45" s="441">
        <f t="shared" si="2"/>
        <v>0</v>
      </c>
      <c r="J45" s="566"/>
    </row>
    <row r="46" spans="1:10">
      <c r="A46" s="564"/>
      <c r="B46" s="561"/>
      <c r="C46" s="561"/>
      <c r="D46" s="561"/>
      <c r="E46" s="562"/>
      <c r="F46" s="562"/>
      <c r="G46" s="562"/>
      <c r="H46" s="565"/>
      <c r="I46" s="441">
        <f t="shared" si="2"/>
        <v>0</v>
      </c>
      <c r="J46" s="566"/>
    </row>
    <row r="47" spans="1:10">
      <c r="A47" s="564"/>
      <c r="B47" s="561"/>
      <c r="C47" s="561"/>
      <c r="D47" s="561"/>
      <c r="E47" s="562"/>
      <c r="F47" s="562"/>
      <c r="G47" s="562"/>
      <c r="H47" s="565"/>
      <c r="I47" s="441">
        <f t="shared" si="2"/>
        <v>0</v>
      </c>
      <c r="J47" s="566"/>
    </row>
    <row r="48" spans="1:10">
      <c r="A48" s="564"/>
      <c r="B48" s="561"/>
      <c r="C48" s="561"/>
      <c r="D48" s="561"/>
      <c r="E48" s="562"/>
      <c r="F48" s="562"/>
      <c r="G48" s="562"/>
      <c r="H48" s="563"/>
      <c r="I48" s="441">
        <f t="shared" si="2"/>
        <v>0</v>
      </c>
      <c r="J48" s="566"/>
    </row>
    <row r="49" spans="1:10">
      <c r="A49" s="564"/>
      <c r="B49" s="561"/>
      <c r="C49" s="561"/>
      <c r="D49" s="561"/>
      <c r="E49" s="562"/>
      <c r="F49" s="562"/>
      <c r="G49" s="562"/>
      <c r="H49" s="563"/>
      <c r="I49" s="441">
        <f t="shared" si="2"/>
        <v>0</v>
      </c>
      <c r="J49" s="566"/>
    </row>
    <row r="50" spans="1:10">
      <c r="A50" s="564"/>
      <c r="B50" s="561"/>
      <c r="C50" s="561"/>
      <c r="D50" s="561"/>
      <c r="E50" s="562"/>
      <c r="F50" s="562"/>
      <c r="G50" s="562"/>
      <c r="H50" s="563"/>
      <c r="I50" s="441">
        <f t="shared" si="2"/>
        <v>0</v>
      </c>
      <c r="J50" s="566"/>
    </row>
    <row r="51" spans="1:10">
      <c r="A51" s="564"/>
      <c r="B51" s="561"/>
      <c r="C51" s="561"/>
      <c r="D51" s="561"/>
      <c r="E51" s="562"/>
      <c r="F51" s="562"/>
      <c r="G51" s="562"/>
      <c r="H51" s="563"/>
      <c r="I51" s="441">
        <f t="shared" si="2"/>
        <v>0</v>
      </c>
      <c r="J51" s="566"/>
    </row>
    <row r="52" spans="1:10">
      <c r="A52" s="564"/>
      <c r="B52" s="561"/>
      <c r="C52" s="561"/>
      <c r="D52" s="561"/>
      <c r="E52" s="562"/>
      <c r="F52" s="562"/>
      <c r="G52" s="562"/>
      <c r="H52" s="563"/>
      <c r="I52" s="441">
        <f t="shared" si="2"/>
        <v>0</v>
      </c>
      <c r="J52" s="566"/>
    </row>
    <row r="53" spans="1:10">
      <c r="A53" s="564"/>
      <c r="B53" s="561"/>
      <c r="C53" s="561"/>
      <c r="D53" s="561"/>
      <c r="E53" s="562"/>
      <c r="F53" s="562"/>
      <c r="G53" s="562"/>
      <c r="H53" s="563"/>
      <c r="I53" s="441">
        <f t="shared" si="2"/>
        <v>0</v>
      </c>
      <c r="J53" s="566"/>
    </row>
    <row r="54" spans="1:10">
      <c r="A54" s="564"/>
      <c r="B54" s="561"/>
      <c r="C54" s="561"/>
      <c r="D54" s="561"/>
      <c r="E54" s="562"/>
      <c r="F54" s="562"/>
      <c r="G54" s="562"/>
      <c r="H54" s="563"/>
      <c r="I54" s="441">
        <f t="shared" si="2"/>
        <v>0</v>
      </c>
      <c r="J54" s="566"/>
    </row>
    <row r="55" spans="1:10">
      <c r="A55" s="564"/>
      <c r="B55" s="561"/>
      <c r="C55" s="561"/>
      <c r="D55" s="561"/>
      <c r="E55" s="562"/>
      <c r="F55" s="562"/>
      <c r="G55" s="562"/>
      <c r="H55" s="563"/>
      <c r="I55" s="441">
        <f t="shared" si="2"/>
        <v>0</v>
      </c>
      <c r="J55" s="566"/>
    </row>
    <row r="56" spans="1:10">
      <c r="A56" s="564"/>
      <c r="B56" s="561"/>
      <c r="C56" s="561"/>
      <c r="D56" s="561"/>
      <c r="E56" s="562"/>
      <c r="F56" s="562"/>
      <c r="G56" s="562"/>
      <c r="H56" s="563"/>
      <c r="I56" s="441">
        <f t="shared" si="2"/>
        <v>0</v>
      </c>
      <c r="J56" s="566"/>
    </row>
    <row r="57" spans="1:10">
      <c r="A57" s="564"/>
      <c r="B57" s="561"/>
      <c r="C57" s="561"/>
      <c r="D57" s="561"/>
      <c r="E57" s="562"/>
      <c r="F57" s="562"/>
      <c r="G57" s="562"/>
      <c r="H57" s="563"/>
      <c r="I57" s="441">
        <f t="shared" si="2"/>
        <v>0</v>
      </c>
      <c r="J57" s="566"/>
    </row>
    <row r="58" spans="1:10">
      <c r="A58" s="564"/>
      <c r="B58" s="561"/>
      <c r="C58" s="561"/>
      <c r="D58" s="561"/>
      <c r="E58" s="562"/>
      <c r="F58" s="562"/>
      <c r="G58" s="562"/>
      <c r="H58" s="563"/>
      <c r="I58" s="441">
        <f t="shared" si="2"/>
        <v>0</v>
      </c>
      <c r="J58" s="566"/>
    </row>
    <row r="59" spans="1:10">
      <c r="A59" s="564"/>
      <c r="B59" s="561"/>
      <c r="C59" s="561"/>
      <c r="D59" s="561"/>
      <c r="E59" s="562"/>
      <c r="F59" s="562"/>
      <c r="G59" s="562"/>
      <c r="H59" s="563"/>
      <c r="I59" s="441">
        <f t="shared" si="2"/>
        <v>0</v>
      </c>
      <c r="J59" s="566"/>
    </row>
    <row r="60" spans="1:10">
      <c r="A60" s="564"/>
      <c r="B60" s="561"/>
      <c r="C60" s="561"/>
      <c r="D60" s="561"/>
      <c r="E60" s="562"/>
      <c r="F60" s="562"/>
      <c r="G60" s="562"/>
      <c r="H60" s="563"/>
      <c r="I60" s="441">
        <f t="shared" si="2"/>
        <v>0</v>
      </c>
      <c r="J60" s="566"/>
    </row>
    <row r="61" spans="1:10">
      <c r="A61" s="564"/>
      <c r="B61" s="561"/>
      <c r="C61" s="561"/>
      <c r="D61" s="561"/>
      <c r="E61" s="562"/>
      <c r="F61" s="562"/>
      <c r="G61" s="562"/>
      <c r="H61" s="563"/>
      <c r="I61" s="441">
        <f t="shared" si="2"/>
        <v>0</v>
      </c>
      <c r="J61" s="566"/>
    </row>
    <row r="62" spans="1:10">
      <c r="A62" s="564"/>
      <c r="B62" s="561"/>
      <c r="C62" s="561"/>
      <c r="D62" s="561"/>
      <c r="E62" s="562"/>
      <c r="F62" s="562"/>
      <c r="G62" s="562"/>
      <c r="H62" s="563"/>
      <c r="I62" s="441">
        <f t="shared" si="2"/>
        <v>0</v>
      </c>
      <c r="J62" s="566"/>
    </row>
    <row r="63" spans="1:10">
      <c r="A63" s="564"/>
      <c r="B63" s="561"/>
      <c r="C63" s="561"/>
      <c r="D63" s="561"/>
      <c r="E63" s="562"/>
      <c r="F63" s="562"/>
      <c r="G63" s="562"/>
      <c r="H63" s="563"/>
      <c r="I63" s="441">
        <f t="shared" si="2"/>
        <v>0</v>
      </c>
      <c r="J63" s="566"/>
    </row>
    <row r="64" spans="1:10">
      <c r="A64" s="564"/>
      <c r="B64" s="561"/>
      <c r="C64" s="561"/>
      <c r="D64" s="561"/>
      <c r="E64" s="562"/>
      <c r="F64" s="562"/>
      <c r="G64" s="562"/>
      <c r="H64" s="563"/>
      <c r="I64" s="441">
        <f t="shared" si="2"/>
        <v>0</v>
      </c>
      <c r="J64" s="566"/>
    </row>
    <row r="65" spans="1:10">
      <c r="A65" s="564"/>
      <c r="B65" s="561"/>
      <c r="C65" s="561"/>
      <c r="D65" s="561"/>
      <c r="E65" s="562"/>
      <c r="F65" s="562"/>
      <c r="G65" s="562"/>
      <c r="H65" s="563"/>
      <c r="I65" s="441">
        <f t="shared" si="2"/>
        <v>0</v>
      </c>
      <c r="J65" s="566"/>
    </row>
    <row r="66" spans="1:10">
      <c r="A66" s="564"/>
      <c r="B66" s="561"/>
      <c r="C66" s="561"/>
      <c r="D66" s="561"/>
      <c r="E66" s="562"/>
      <c r="F66" s="562"/>
      <c r="G66" s="562"/>
      <c r="H66" s="563"/>
      <c r="I66" s="441">
        <f t="shared" si="2"/>
        <v>0</v>
      </c>
      <c r="J66" s="566"/>
    </row>
    <row r="67" spans="1:10">
      <c r="A67" s="564"/>
      <c r="B67" s="561"/>
      <c r="C67" s="561"/>
      <c r="D67" s="561"/>
      <c r="E67" s="562"/>
      <c r="F67" s="562"/>
      <c r="G67" s="562"/>
      <c r="H67" s="563"/>
      <c r="I67" s="441">
        <f t="shared" si="2"/>
        <v>0</v>
      </c>
      <c r="J67" s="566"/>
    </row>
    <row r="68" spans="1:10">
      <c r="A68" s="564"/>
      <c r="B68" s="561"/>
      <c r="C68" s="561"/>
      <c r="D68" s="561"/>
      <c r="E68" s="562"/>
      <c r="F68" s="562"/>
      <c r="G68" s="562"/>
      <c r="H68" s="563"/>
      <c r="I68" s="441">
        <f t="shared" si="2"/>
        <v>0</v>
      </c>
      <c r="J68" s="566"/>
    </row>
    <row r="69" spans="1:10">
      <c r="A69" s="564"/>
      <c r="B69" s="561"/>
      <c r="C69" s="561"/>
      <c r="D69" s="561"/>
      <c r="E69" s="562"/>
      <c r="F69" s="562"/>
      <c r="G69" s="562"/>
      <c r="H69" s="563"/>
      <c r="I69" s="441">
        <f t="shared" si="2"/>
        <v>0</v>
      </c>
      <c r="J69" s="566"/>
    </row>
    <row r="70" spans="1:10">
      <c r="A70" s="564"/>
      <c r="B70" s="561"/>
      <c r="C70" s="561"/>
      <c r="D70" s="561"/>
      <c r="E70" s="562"/>
      <c r="F70" s="562"/>
      <c r="G70" s="562"/>
      <c r="H70" s="563"/>
      <c r="I70" s="441">
        <f t="shared" si="2"/>
        <v>0</v>
      </c>
      <c r="J70" s="566"/>
    </row>
    <row r="71" spans="1:10">
      <c r="A71" s="564"/>
      <c r="B71" s="561"/>
      <c r="C71" s="561"/>
      <c r="D71" s="561"/>
      <c r="E71" s="562"/>
      <c r="F71" s="562"/>
      <c r="G71" s="562"/>
      <c r="H71" s="563"/>
      <c r="I71" s="441">
        <f t="shared" si="2"/>
        <v>0</v>
      </c>
      <c r="J71" s="566"/>
    </row>
    <row r="72" spans="1:10">
      <c r="A72" s="564"/>
      <c r="B72" s="561"/>
      <c r="C72" s="561"/>
      <c r="D72" s="561"/>
      <c r="E72" s="562"/>
      <c r="F72" s="562"/>
      <c r="G72" s="562"/>
      <c r="H72" s="563"/>
      <c r="I72" s="441">
        <f t="shared" si="2"/>
        <v>0</v>
      </c>
      <c r="J72" s="566"/>
    </row>
    <row r="73" spans="1:10">
      <c r="A73" s="564"/>
      <c r="B73" s="561"/>
      <c r="C73" s="561"/>
      <c r="D73" s="561"/>
      <c r="E73" s="562"/>
      <c r="F73" s="562"/>
      <c r="G73" s="562"/>
      <c r="H73" s="563"/>
      <c r="I73" s="441">
        <f t="shared" si="2"/>
        <v>0</v>
      </c>
      <c r="J73" s="566"/>
    </row>
    <row r="74" spans="1:10">
      <c r="A74" s="564"/>
      <c r="B74" s="561"/>
      <c r="C74" s="561"/>
      <c r="D74" s="561"/>
      <c r="E74" s="562"/>
      <c r="F74" s="562"/>
      <c r="G74" s="562"/>
      <c r="H74" s="563"/>
      <c r="I74" s="441">
        <f t="shared" si="2"/>
        <v>0</v>
      </c>
      <c r="J74" s="566"/>
    </row>
    <row r="75" spans="1:10">
      <c r="A75" s="564"/>
      <c r="B75" s="561"/>
      <c r="C75" s="561"/>
      <c r="D75" s="561"/>
      <c r="E75" s="562"/>
      <c r="F75" s="562"/>
      <c r="G75" s="562"/>
      <c r="H75" s="563"/>
      <c r="I75" s="441">
        <f t="shared" si="2"/>
        <v>0</v>
      </c>
      <c r="J75" s="566"/>
    </row>
    <row r="76" spans="1:10">
      <c r="A76" s="564"/>
      <c r="B76" s="561"/>
      <c r="C76" s="561"/>
      <c r="D76" s="561"/>
      <c r="E76" s="562"/>
      <c r="F76" s="562"/>
      <c r="G76" s="562"/>
      <c r="H76" s="563"/>
      <c r="I76" s="441">
        <f t="shared" si="2"/>
        <v>0</v>
      </c>
      <c r="J76" s="566"/>
    </row>
    <row r="77" spans="1:10">
      <c r="A77" s="564"/>
      <c r="B77" s="561"/>
      <c r="C77" s="561"/>
      <c r="D77" s="561"/>
      <c r="E77" s="562"/>
      <c r="F77" s="562"/>
      <c r="G77" s="562"/>
      <c r="H77" s="563"/>
      <c r="I77" s="441">
        <f t="shared" si="2"/>
        <v>0</v>
      </c>
      <c r="J77" s="566"/>
    </row>
    <row r="78" spans="1:10">
      <c r="A78" s="564"/>
      <c r="B78" s="561"/>
      <c r="C78" s="561"/>
      <c r="D78" s="561"/>
      <c r="E78" s="562"/>
      <c r="F78" s="562"/>
      <c r="G78" s="562"/>
      <c r="H78" s="563"/>
      <c r="I78" s="441">
        <f t="shared" si="2"/>
        <v>0</v>
      </c>
      <c r="J78" s="566"/>
    </row>
    <row r="79" spans="1:10">
      <c r="A79" s="564"/>
      <c r="B79" s="561"/>
      <c r="C79" s="561"/>
      <c r="D79" s="561"/>
      <c r="E79" s="562"/>
      <c r="F79" s="562"/>
      <c r="G79" s="562"/>
      <c r="H79" s="563"/>
      <c r="I79" s="441">
        <f t="shared" si="2"/>
        <v>0</v>
      </c>
      <c r="J79" s="566"/>
    </row>
    <row r="80" spans="1:10">
      <c r="A80" s="564"/>
      <c r="B80" s="561"/>
      <c r="C80" s="561"/>
      <c r="D80" s="561"/>
      <c r="E80" s="562"/>
      <c r="F80" s="562"/>
      <c r="G80" s="562"/>
      <c r="H80" s="563"/>
      <c r="I80" s="441">
        <f t="shared" si="2"/>
        <v>0</v>
      </c>
      <c r="J80" s="566"/>
    </row>
    <row r="81" spans="1:10">
      <c r="A81" s="564"/>
      <c r="B81" s="561"/>
      <c r="C81" s="561"/>
      <c r="D81" s="561"/>
      <c r="E81" s="562"/>
      <c r="F81" s="562"/>
      <c r="G81" s="562"/>
      <c r="H81" s="563"/>
      <c r="I81" s="441">
        <f t="shared" si="2"/>
        <v>0</v>
      </c>
      <c r="J81" s="566"/>
    </row>
    <row r="82" spans="1:10">
      <c r="A82" s="564"/>
      <c r="B82" s="561"/>
      <c r="C82" s="561"/>
      <c r="D82" s="561"/>
      <c r="E82" s="562"/>
      <c r="F82" s="562"/>
      <c r="G82" s="562"/>
      <c r="H82" s="563"/>
      <c r="I82" s="441">
        <f t="shared" si="2"/>
        <v>0</v>
      </c>
      <c r="J82" s="566"/>
    </row>
    <row r="83" spans="1:10">
      <c r="A83" s="564"/>
      <c r="B83" s="561"/>
      <c r="C83" s="561"/>
      <c r="D83" s="561"/>
      <c r="E83" s="562"/>
      <c r="F83" s="562"/>
      <c r="G83" s="562"/>
      <c r="H83" s="563"/>
      <c r="I83" s="441">
        <f t="shared" si="2"/>
        <v>0</v>
      </c>
      <c r="J83" s="566"/>
    </row>
    <row r="84" spans="1:10">
      <c r="A84" s="564"/>
      <c r="B84" s="561"/>
      <c r="C84" s="561"/>
      <c r="D84" s="561"/>
      <c r="E84" s="562"/>
      <c r="F84" s="562"/>
      <c r="G84" s="562"/>
      <c r="H84" s="563"/>
      <c r="I84" s="441">
        <f t="shared" si="2"/>
        <v>0</v>
      </c>
      <c r="J84" s="566"/>
    </row>
    <row r="85" spans="1:10">
      <c r="A85" s="564"/>
      <c r="B85" s="561"/>
      <c r="C85" s="561"/>
      <c r="D85" s="561"/>
      <c r="E85" s="562"/>
      <c r="F85" s="562"/>
      <c r="G85" s="562"/>
      <c r="H85" s="563"/>
      <c r="I85" s="441">
        <f t="shared" si="2"/>
        <v>0</v>
      </c>
      <c r="J85" s="566"/>
    </row>
    <row r="86" spans="1:10">
      <c r="A86" s="564"/>
      <c r="B86" s="561"/>
      <c r="C86" s="561"/>
      <c r="D86" s="561"/>
      <c r="E86" s="562"/>
      <c r="F86" s="562"/>
      <c r="G86" s="562"/>
      <c r="H86" s="563"/>
      <c r="I86" s="441">
        <f t="shared" si="2"/>
        <v>0</v>
      </c>
      <c r="J86" s="566"/>
    </row>
    <row r="87" spans="1:10">
      <c r="A87" s="564"/>
      <c r="B87" s="561"/>
      <c r="C87" s="561"/>
      <c r="D87" s="561"/>
      <c r="E87" s="562"/>
      <c r="F87" s="562"/>
      <c r="G87" s="562"/>
      <c r="H87" s="563"/>
      <c r="I87" s="441">
        <f t="shared" si="2"/>
        <v>0</v>
      </c>
      <c r="J87" s="566"/>
    </row>
    <row r="88" spans="1:10">
      <c r="A88" s="564"/>
      <c r="B88" s="561"/>
      <c r="C88" s="561"/>
      <c r="D88" s="561"/>
      <c r="E88" s="562"/>
      <c r="F88" s="562"/>
      <c r="G88" s="562"/>
      <c r="H88" s="563"/>
      <c r="I88" s="441">
        <f t="shared" si="2"/>
        <v>0</v>
      </c>
      <c r="J88" s="566"/>
    </row>
    <row r="89" spans="1:10">
      <c r="A89" s="564"/>
      <c r="B89" s="561"/>
      <c r="C89" s="561"/>
      <c r="D89" s="561"/>
      <c r="E89" s="562"/>
      <c r="F89" s="562"/>
      <c r="G89" s="562"/>
      <c r="H89" s="563"/>
      <c r="I89" s="441">
        <f t="shared" si="2"/>
        <v>0</v>
      </c>
      <c r="J89" s="566"/>
    </row>
    <row r="90" spans="1:10">
      <c r="A90" s="564"/>
      <c r="B90" s="561"/>
      <c r="C90" s="561"/>
      <c r="D90" s="561"/>
      <c r="E90" s="562"/>
      <c r="F90" s="562"/>
      <c r="G90" s="562"/>
      <c r="H90" s="563"/>
      <c r="I90" s="441">
        <f t="shared" si="2"/>
        <v>0</v>
      </c>
      <c r="J90" s="566"/>
    </row>
    <row r="91" spans="1:10">
      <c r="A91" s="564"/>
      <c r="B91" s="561"/>
      <c r="C91" s="561"/>
      <c r="D91" s="561"/>
      <c r="E91" s="562"/>
      <c r="F91" s="562"/>
      <c r="G91" s="562"/>
      <c r="H91" s="563"/>
      <c r="I91" s="441">
        <f t="shared" si="2"/>
        <v>0</v>
      </c>
      <c r="J91" s="566"/>
    </row>
    <row r="92" spans="1:10">
      <c r="A92" s="564"/>
      <c r="B92" s="561"/>
      <c r="C92" s="561"/>
      <c r="D92" s="561"/>
      <c r="E92" s="562"/>
      <c r="F92" s="562"/>
      <c r="G92" s="562"/>
      <c r="H92" s="563"/>
      <c r="I92" s="441">
        <f t="shared" si="2"/>
        <v>0</v>
      </c>
      <c r="J92" s="566"/>
    </row>
    <row r="93" spans="1:10">
      <c r="A93" s="564"/>
      <c r="B93" s="561"/>
      <c r="C93" s="561"/>
      <c r="D93" s="561"/>
      <c r="E93" s="562"/>
      <c r="F93" s="562"/>
      <c r="G93" s="562"/>
      <c r="H93" s="563"/>
      <c r="I93" s="441">
        <f t="shared" si="2"/>
        <v>0</v>
      </c>
      <c r="J93" s="566"/>
    </row>
    <row r="94" spans="1:10">
      <c r="A94" s="564"/>
      <c r="B94" s="561"/>
      <c r="C94" s="561"/>
      <c r="D94" s="561"/>
      <c r="E94" s="562"/>
      <c r="F94" s="562"/>
      <c r="G94" s="562"/>
      <c r="H94" s="563"/>
      <c r="I94" s="441">
        <f t="shared" si="2"/>
        <v>0</v>
      </c>
      <c r="J94" s="566"/>
    </row>
    <row r="95" spans="1:10">
      <c r="A95" s="564"/>
      <c r="B95" s="561"/>
      <c r="C95" s="561"/>
      <c r="D95" s="561"/>
      <c r="E95" s="562"/>
      <c r="F95" s="562"/>
      <c r="G95" s="562"/>
      <c r="H95" s="563"/>
      <c r="I95" s="441">
        <f t="shared" si="2"/>
        <v>0</v>
      </c>
      <c r="J95" s="566"/>
    </row>
    <row r="96" spans="1:10">
      <c r="A96" s="564"/>
      <c r="B96" s="561"/>
      <c r="C96" s="561"/>
      <c r="D96" s="561"/>
      <c r="E96" s="562"/>
      <c r="F96" s="562"/>
      <c r="G96" s="562"/>
      <c r="H96" s="563"/>
      <c r="I96" s="441">
        <f t="shared" si="2"/>
        <v>0</v>
      </c>
      <c r="J96" s="566"/>
    </row>
    <row r="97" spans="1:10">
      <c r="A97" s="564"/>
      <c r="B97" s="561"/>
      <c r="C97" s="561"/>
      <c r="D97" s="561"/>
      <c r="E97" s="562"/>
      <c r="F97" s="562"/>
      <c r="G97" s="562"/>
      <c r="H97" s="563"/>
      <c r="I97" s="441">
        <f t="shared" ref="I97:I105" si="3">H97*F97</f>
        <v>0</v>
      </c>
      <c r="J97" s="566"/>
    </row>
    <row r="98" spans="1:10">
      <c r="A98" s="564"/>
      <c r="B98" s="561"/>
      <c r="C98" s="561"/>
      <c r="D98" s="561"/>
      <c r="E98" s="562"/>
      <c r="F98" s="562"/>
      <c r="G98" s="562"/>
      <c r="H98" s="563"/>
      <c r="I98" s="441">
        <f t="shared" si="3"/>
        <v>0</v>
      </c>
      <c r="J98" s="566"/>
    </row>
    <row r="99" spans="1:10">
      <c r="A99" s="564"/>
      <c r="B99" s="561"/>
      <c r="C99" s="561"/>
      <c r="D99" s="561"/>
      <c r="E99" s="562"/>
      <c r="F99" s="562"/>
      <c r="G99" s="562"/>
      <c r="H99" s="563"/>
      <c r="I99" s="441">
        <f t="shared" si="3"/>
        <v>0</v>
      </c>
      <c r="J99" s="566"/>
    </row>
    <row r="100" spans="1:10">
      <c r="A100" s="564"/>
      <c r="B100" s="561"/>
      <c r="C100" s="561"/>
      <c r="D100" s="561"/>
      <c r="E100" s="562"/>
      <c r="F100" s="562"/>
      <c r="G100" s="562"/>
      <c r="H100" s="563"/>
      <c r="I100" s="441">
        <f t="shared" si="3"/>
        <v>0</v>
      </c>
      <c r="J100" s="566"/>
    </row>
    <row r="101" spans="1:10">
      <c r="A101" s="564"/>
      <c r="B101" s="561"/>
      <c r="C101" s="561"/>
      <c r="D101" s="561"/>
      <c r="E101" s="562"/>
      <c r="F101" s="562"/>
      <c r="G101" s="562"/>
      <c r="H101" s="563"/>
      <c r="I101" s="441">
        <f t="shared" si="3"/>
        <v>0</v>
      </c>
      <c r="J101" s="566"/>
    </row>
    <row r="102" spans="1:10">
      <c r="A102" s="564"/>
      <c r="B102" s="561"/>
      <c r="C102" s="561"/>
      <c r="D102" s="561"/>
      <c r="E102" s="562"/>
      <c r="F102" s="562"/>
      <c r="G102" s="562"/>
      <c r="H102" s="563"/>
      <c r="I102" s="441">
        <f t="shared" si="3"/>
        <v>0</v>
      </c>
      <c r="J102" s="566"/>
    </row>
    <row r="103" spans="1:10">
      <c r="A103" s="564"/>
      <c r="B103" s="561"/>
      <c r="C103" s="561"/>
      <c r="D103" s="561"/>
      <c r="E103" s="562"/>
      <c r="F103" s="562"/>
      <c r="G103" s="562"/>
      <c r="H103" s="563"/>
      <c r="I103" s="441">
        <f t="shared" si="3"/>
        <v>0</v>
      </c>
      <c r="J103" s="566"/>
    </row>
    <row r="104" spans="1:10">
      <c r="A104" s="564"/>
      <c r="B104" s="561"/>
      <c r="C104" s="561"/>
      <c r="D104" s="561"/>
      <c r="E104" s="562"/>
      <c r="F104" s="562"/>
      <c r="G104" s="562"/>
      <c r="H104" s="563"/>
      <c r="I104" s="441">
        <f t="shared" si="3"/>
        <v>0</v>
      </c>
      <c r="J104" s="566"/>
    </row>
    <row r="105" spans="1:10">
      <c r="A105" s="564"/>
      <c r="B105" s="561"/>
      <c r="C105" s="561"/>
      <c r="D105" s="561"/>
      <c r="E105" s="562"/>
      <c r="F105" s="562"/>
      <c r="G105" s="562"/>
      <c r="H105" s="563"/>
      <c r="I105" s="441">
        <f t="shared" si="3"/>
        <v>0</v>
      </c>
      <c r="J105" s="566"/>
    </row>
  </sheetData>
  <autoFilter ref="A2:J47" xr:uid="{00000000-0009-0000-0000-000013000000}"/>
  <sortState xmlns:xlrd2="http://schemas.microsoft.com/office/spreadsheetml/2017/richdata2" ref="A3:J32">
    <sortCondition ref="A2:A32"/>
  </sortState>
  <phoneticPr fontId="58" type="noConversion"/>
  <dataValidations count="3">
    <dataValidation type="list" allowBlank="1" showInputMessage="1" showErrorMessage="1" sqref="A3:A105" xr:uid="{00000000-0002-0000-1300-000000000000}">
      <formula1>MODULY</formula1>
    </dataValidation>
    <dataValidation type="list" allowBlank="1" showInputMessage="1" showErrorMessage="1" sqref="C3:C105" xr:uid="{00000000-0002-0000-1300-000001000000}">
      <formula1>"HW,SW, SW pre HW"</formula1>
    </dataValidation>
    <dataValidation type="list" allowBlank="1" showInputMessage="1" showErrorMessage="1" sqref="D3:D105" xr:uid="{00000000-0002-0000-1300-000002000000}">
      <formula1>"013 Softvér,022 Samostatné hnuteľné veci a súbory hnuteľných vecí,112 Zásoby"</formula1>
    </dataValidation>
  </dataValidations>
  <pageMargins left="0.7" right="0.7" top="0.75" bottom="0.75" header="0.3" footer="0.3"/>
  <pageSetup paperSize="9" scale="55"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árok16">
    <tabColor rgb="FF00B050"/>
  </sheetPr>
  <dimension ref="A1:J107"/>
  <sheetViews>
    <sheetView zoomScale="110" zoomScaleNormal="110" workbookViewId="0">
      <pane ySplit="2" topLeftCell="A3" activePane="bottomLeft" state="frozen"/>
      <selection activeCell="J3" sqref="J3:J11"/>
      <selection pane="bottomLeft" activeCell="B13" sqref="B13:B17"/>
    </sheetView>
  </sheetViews>
  <sheetFormatPr defaultColWidth="8.7109375" defaultRowHeight="15"/>
  <cols>
    <col min="1" max="1" width="3" style="365" customWidth="1"/>
    <col min="2" max="2" width="24.140625" style="365" customWidth="1"/>
    <col min="3" max="3" width="28.7109375" style="365" customWidth="1"/>
    <col min="4" max="6" width="13.7109375" style="365" customWidth="1"/>
    <col min="7" max="10" width="12.140625" style="365" customWidth="1"/>
    <col min="11" max="16384" width="8.7109375" style="365"/>
  </cols>
  <sheetData>
    <row r="1" spans="1:10">
      <c r="B1" s="367"/>
      <c r="C1" s="367"/>
      <c r="D1" s="367"/>
      <c r="E1" s="367"/>
      <c r="F1" s="367"/>
      <c r="G1" s="821" t="s">
        <v>302</v>
      </c>
      <c r="H1" s="821"/>
      <c r="I1" s="821"/>
      <c r="J1" s="821"/>
    </row>
    <row r="2" spans="1:10" s="369" customFormat="1" ht="30">
      <c r="A2" s="368" t="s">
        <v>271</v>
      </c>
      <c r="B2" s="368" t="s">
        <v>260</v>
      </c>
      <c r="C2" s="368" t="s">
        <v>261</v>
      </c>
      <c r="D2" s="534" t="s">
        <v>267</v>
      </c>
      <c r="E2" s="534" t="s">
        <v>299</v>
      </c>
      <c r="F2" s="534" t="s">
        <v>300</v>
      </c>
      <c r="G2" s="534" t="s">
        <v>268</v>
      </c>
      <c r="H2" s="479" t="s">
        <v>772</v>
      </c>
      <c r="I2" s="534" t="s">
        <v>270</v>
      </c>
      <c r="J2" s="534" t="s">
        <v>269</v>
      </c>
    </row>
    <row r="3" spans="1:10">
      <c r="A3" s="819">
        <v>1</v>
      </c>
      <c r="B3" s="820" t="s">
        <v>780</v>
      </c>
      <c r="C3" s="370" t="str">
        <f>IFERROR(IF(ISTEXT(B3),"Analýza a dizajn",""),)</f>
        <v>Analýza a dizajn</v>
      </c>
      <c r="D3" s="370" t="str">
        <f>IFERROR(VLOOKUP(B3,MODULY_CBA!$B$3:$I$23,6,0),"")</f>
        <v>Inkrement 1</v>
      </c>
      <c r="E3" s="371">
        <f>IFERROR(VLOOKUP(D3,INKREMENTY!$A$2:$F$21,2,0),"")</f>
        <v>45778</v>
      </c>
      <c r="F3" s="371">
        <f>IFERROR(VLOOKUP(D3,INKREMENTY!$A$2:$F$21,4,0),"")</f>
        <v>46871</v>
      </c>
      <c r="G3" s="370">
        <f>IFERROR(ROUND(((E3-$E$3)+1)/30,0)+1,)</f>
        <v>1</v>
      </c>
      <c r="H3" s="370">
        <f>G3-1</f>
        <v>0</v>
      </c>
      <c r="I3" s="551"/>
      <c r="J3" s="370">
        <f>H3+I3</f>
        <v>0</v>
      </c>
    </row>
    <row r="4" spans="1:10">
      <c r="A4" s="819"/>
      <c r="B4" s="820"/>
      <c r="C4" s="370" t="str">
        <f>IFERROR(IF(ISTEXT(B3),"Nákupo HW a krabicový SW",""),)</f>
        <v>Nákupo HW a krabicový SW</v>
      </c>
      <c r="D4" s="367"/>
      <c r="E4" s="367"/>
      <c r="F4" s="367"/>
      <c r="G4" s="551"/>
      <c r="H4" s="370">
        <f t="shared" ref="H4:H27" si="0">G4-1</f>
        <v>-1</v>
      </c>
      <c r="I4" s="551"/>
      <c r="J4" s="370">
        <f>H4+I4</f>
        <v>-1</v>
      </c>
    </row>
    <row r="5" spans="1:10">
      <c r="A5" s="819"/>
      <c r="B5" s="820"/>
      <c r="C5" s="370" t="str">
        <f>IFERROR(IF(ISTEXT(B3),"Implementácia",""),)</f>
        <v>Implementácia</v>
      </c>
      <c r="D5" s="367"/>
      <c r="E5" s="367"/>
      <c r="F5" s="367"/>
      <c r="G5" s="551"/>
      <c r="H5" s="370">
        <f t="shared" si="0"/>
        <v>-1</v>
      </c>
      <c r="I5" s="551"/>
      <c r="J5" s="370">
        <f>H5+I5</f>
        <v>-1</v>
      </c>
    </row>
    <row r="6" spans="1:10">
      <c r="A6" s="819"/>
      <c r="B6" s="820"/>
      <c r="C6" s="370" t="str">
        <f>IFERROR(IF(ISTEXT(B3),"Testovanie",""),)</f>
        <v>Testovanie</v>
      </c>
      <c r="D6" s="367"/>
      <c r="E6" s="367"/>
      <c r="F6" s="367"/>
      <c r="G6" s="551"/>
      <c r="H6" s="370">
        <f t="shared" si="0"/>
        <v>-1</v>
      </c>
      <c r="I6" s="551"/>
      <c r="J6" s="370">
        <f>H6+I6</f>
        <v>-1</v>
      </c>
    </row>
    <row r="7" spans="1:10">
      <c r="A7" s="819"/>
      <c r="B7" s="820"/>
      <c r="C7" s="370" t="str">
        <f>IFERROR(IF(ISTEXT(B3),"Nasadenie",""),)</f>
        <v>Nasadenie</v>
      </c>
      <c r="D7" s="367"/>
      <c r="E7" s="367"/>
      <c r="F7" s="367"/>
      <c r="G7" s="551"/>
      <c r="H7" s="370">
        <f t="shared" si="0"/>
        <v>-1</v>
      </c>
      <c r="I7" s="370">
        <f>J7-H7</f>
        <v>37</v>
      </c>
      <c r="J7" s="370">
        <f>IFERROR(ROUND((F3-$E$3+1)/30,0),)</f>
        <v>36</v>
      </c>
    </row>
    <row r="8" spans="1:10">
      <c r="A8" s="819">
        <v>2</v>
      </c>
      <c r="B8" s="820" t="s">
        <v>796</v>
      </c>
      <c r="C8" s="370" t="str">
        <f>IFERROR(IF(ISTEXT(B8),"Analýza a dizajn",""),)</f>
        <v>Analýza a dizajn</v>
      </c>
      <c r="D8" s="370" t="str">
        <f>IFERROR(VLOOKUP(B8,MODULY_CBA!$B$3:$I$23,6,0),"")</f>
        <v>Inkrement 1</v>
      </c>
      <c r="E8" s="371">
        <f>IFERROR(VLOOKUP(D8,INKREMENTY!$A$2:$F$21,2,0),"")</f>
        <v>45778</v>
      </c>
      <c r="F8" s="371">
        <f>IFERROR(VLOOKUP(D8,INKREMENTY!$A$2:$F$21,4,0),"")</f>
        <v>46871</v>
      </c>
      <c r="G8" s="370">
        <f>IFERROR(ROUND(((E8-$E$3)+1)/30,0)+1,)</f>
        <v>1</v>
      </c>
      <c r="H8" s="370">
        <f t="shared" si="0"/>
        <v>0</v>
      </c>
      <c r="I8" s="551"/>
      <c r="J8" s="370">
        <f t="shared" ref="J8:J11" si="1">H8+I8</f>
        <v>0</v>
      </c>
    </row>
    <row r="9" spans="1:10">
      <c r="A9" s="819"/>
      <c r="B9" s="820"/>
      <c r="C9" s="370" t="str">
        <f>IFERROR(IF(ISTEXT(B8),"Nákupo HW a krabicový SW",""),)</f>
        <v>Nákupo HW a krabicový SW</v>
      </c>
      <c r="D9" s="367"/>
      <c r="E9" s="367"/>
      <c r="F9" s="367"/>
      <c r="G9" s="551"/>
      <c r="H9" s="370">
        <f t="shared" ref="H9" si="2">G9-1</f>
        <v>-1</v>
      </c>
      <c r="I9" s="551"/>
      <c r="J9" s="370">
        <f t="shared" si="1"/>
        <v>-1</v>
      </c>
    </row>
    <row r="10" spans="1:10">
      <c r="A10" s="819"/>
      <c r="B10" s="820"/>
      <c r="C10" s="370" t="str">
        <f>IFERROR(IF(ISTEXT(B8),"Implementácia",""),)</f>
        <v>Implementácia</v>
      </c>
      <c r="D10" s="367"/>
      <c r="E10" s="367"/>
      <c r="F10" s="367"/>
      <c r="G10" s="551"/>
      <c r="H10" s="370">
        <f t="shared" si="0"/>
        <v>-1</v>
      </c>
      <c r="I10" s="551"/>
      <c r="J10" s="370">
        <f t="shared" si="1"/>
        <v>-1</v>
      </c>
    </row>
    <row r="11" spans="1:10">
      <c r="A11" s="819"/>
      <c r="B11" s="820"/>
      <c r="C11" s="370" t="str">
        <f>IFERROR(IF(ISTEXT(B8),"Testovanie",""),)</f>
        <v>Testovanie</v>
      </c>
      <c r="D11" s="367"/>
      <c r="E11" s="367"/>
      <c r="F11" s="367"/>
      <c r="G11" s="551"/>
      <c r="H11" s="370">
        <f t="shared" si="0"/>
        <v>-1</v>
      </c>
      <c r="I11" s="551"/>
      <c r="J11" s="370">
        <f t="shared" si="1"/>
        <v>-1</v>
      </c>
    </row>
    <row r="12" spans="1:10">
      <c r="A12" s="819"/>
      <c r="B12" s="820"/>
      <c r="C12" s="370" t="str">
        <f>IFERROR(IF(ISTEXT(B8),"Nasadenie",""),)</f>
        <v>Nasadenie</v>
      </c>
      <c r="D12" s="367"/>
      <c r="E12" s="367"/>
      <c r="F12" s="367"/>
      <c r="G12" s="551"/>
      <c r="H12" s="370">
        <f t="shared" si="0"/>
        <v>-1</v>
      </c>
      <c r="I12" s="370">
        <f>J12-H12</f>
        <v>37</v>
      </c>
      <c r="J12" s="370">
        <f>IFERROR(ROUND((F8-$E$3+1)/30,0),)</f>
        <v>36</v>
      </c>
    </row>
    <row r="13" spans="1:10">
      <c r="A13" s="819">
        <v>3</v>
      </c>
      <c r="B13" s="820" t="s">
        <v>1102</v>
      </c>
      <c r="C13" s="370" t="str">
        <f>IFERROR(IF(ISTEXT(B13),"Analýza a dizajn",""),)</f>
        <v>Analýza a dizajn</v>
      </c>
      <c r="D13" s="370" t="str">
        <f>IFERROR(VLOOKUP(B13,MODULY_CBA!$B$3:$I$23,6,0),"")</f>
        <v>Inkrement 1</v>
      </c>
      <c r="E13" s="371">
        <f>IFERROR(VLOOKUP(D13,INKREMENTY!$A$2:$F$21,2,0),"")</f>
        <v>45778</v>
      </c>
      <c r="F13" s="371">
        <f>IFERROR(VLOOKUP(D13,INKREMENTY!$A$2:$F$21,4,0),"")</f>
        <v>46871</v>
      </c>
      <c r="G13" s="370">
        <f>IFERROR(ROUND(((E13-$E$3)+1)/30,0)+1,)</f>
        <v>1</v>
      </c>
      <c r="H13" s="370">
        <f t="shared" si="0"/>
        <v>0</v>
      </c>
      <c r="I13" s="551"/>
      <c r="J13" s="370">
        <f t="shared" ref="J13:J16" si="3">H13+I13</f>
        <v>0</v>
      </c>
    </row>
    <row r="14" spans="1:10">
      <c r="A14" s="819"/>
      <c r="B14" s="820"/>
      <c r="C14" s="370" t="str">
        <f>IFERROR(IF(ISTEXT(B13),"Nákupo HW a krabicový SW",""),)</f>
        <v>Nákupo HW a krabicový SW</v>
      </c>
      <c r="D14" s="367"/>
      <c r="E14" s="367"/>
      <c r="F14" s="367"/>
      <c r="G14" s="551"/>
      <c r="H14" s="370">
        <f t="shared" ref="H14" si="4">G14-1</f>
        <v>-1</v>
      </c>
      <c r="I14" s="551"/>
      <c r="J14" s="370">
        <f t="shared" si="3"/>
        <v>-1</v>
      </c>
    </row>
    <row r="15" spans="1:10">
      <c r="A15" s="819"/>
      <c r="B15" s="820"/>
      <c r="C15" s="370" t="str">
        <f>IFERROR(IF(ISTEXT(B13),"Implementácia",""),)</f>
        <v>Implementácia</v>
      </c>
      <c r="D15" s="367"/>
      <c r="E15" s="367"/>
      <c r="F15" s="367"/>
      <c r="G15" s="551"/>
      <c r="H15" s="370">
        <f t="shared" si="0"/>
        <v>-1</v>
      </c>
      <c r="I15" s="551"/>
      <c r="J15" s="370">
        <f t="shared" si="3"/>
        <v>-1</v>
      </c>
    </row>
    <row r="16" spans="1:10">
      <c r="A16" s="819"/>
      <c r="B16" s="820"/>
      <c r="C16" s="370" t="str">
        <f>IFERROR(IF(ISTEXT(B13),"Testovanie",""),)</f>
        <v>Testovanie</v>
      </c>
      <c r="D16" s="367"/>
      <c r="E16" s="367"/>
      <c r="F16" s="367"/>
      <c r="G16" s="551"/>
      <c r="H16" s="370">
        <f t="shared" si="0"/>
        <v>-1</v>
      </c>
      <c r="I16" s="551"/>
      <c r="J16" s="370">
        <f t="shared" si="3"/>
        <v>-1</v>
      </c>
    </row>
    <row r="17" spans="1:10">
      <c r="A17" s="819"/>
      <c r="B17" s="820"/>
      <c r="C17" s="370" t="str">
        <f>IFERROR(IF(ISTEXT(B13),"Nasadenie",""),)</f>
        <v>Nasadenie</v>
      </c>
      <c r="D17" s="367"/>
      <c r="E17" s="367"/>
      <c r="F17" s="367"/>
      <c r="G17" s="551"/>
      <c r="H17" s="370">
        <f t="shared" si="0"/>
        <v>-1</v>
      </c>
      <c r="I17" s="370">
        <f>J17-H17</f>
        <v>37</v>
      </c>
      <c r="J17" s="370">
        <f>IFERROR(ROUND((F13-$E$3+1)/30,0),)</f>
        <v>36</v>
      </c>
    </row>
    <row r="18" spans="1:10">
      <c r="A18" s="819">
        <v>4</v>
      </c>
      <c r="B18" s="820" t="s">
        <v>797</v>
      </c>
      <c r="C18" s="370" t="str">
        <f>IFERROR(IF(ISTEXT(B18),"Analýza a dizajn",""),)</f>
        <v>Analýza a dizajn</v>
      </c>
      <c r="D18" s="370" t="str">
        <f>IFERROR(VLOOKUP(B18,MODULY_CBA!$B$3:$I$23,6,0),"")</f>
        <v>Inkrement 1</v>
      </c>
      <c r="E18" s="371">
        <f>IFERROR(VLOOKUP(D18,INKREMENTY!$A$2:$F$21,2,0),"")</f>
        <v>45778</v>
      </c>
      <c r="F18" s="371">
        <f>IFERROR(VLOOKUP(D18,INKREMENTY!$A$2:$F$21,4,0),"")</f>
        <v>46871</v>
      </c>
      <c r="G18" s="370">
        <f>IFERROR(ROUND(((E18-$E$3)+1)/30,0)+1,)</f>
        <v>1</v>
      </c>
      <c r="H18" s="370">
        <f t="shared" si="0"/>
        <v>0</v>
      </c>
      <c r="I18" s="551"/>
      <c r="J18" s="370">
        <f t="shared" ref="J18:J21" si="5">H18+I18</f>
        <v>0</v>
      </c>
    </row>
    <row r="19" spans="1:10">
      <c r="A19" s="819"/>
      <c r="B19" s="820"/>
      <c r="C19" s="370" t="str">
        <f>IFERROR(IF(ISTEXT(B18),"Nákupo HW a krabicový SW",""),)</f>
        <v>Nákupo HW a krabicový SW</v>
      </c>
      <c r="D19" s="367"/>
      <c r="E19" s="367"/>
      <c r="F19" s="367"/>
      <c r="G19" s="551"/>
      <c r="H19" s="370">
        <f t="shared" ref="H19" si="6">G19-1</f>
        <v>-1</v>
      </c>
      <c r="I19" s="551"/>
      <c r="J19" s="370">
        <f t="shared" si="5"/>
        <v>-1</v>
      </c>
    </row>
    <row r="20" spans="1:10">
      <c r="A20" s="819"/>
      <c r="B20" s="820"/>
      <c r="C20" s="370" t="str">
        <f>IFERROR(IF(ISTEXT(B18),"Implementácia",""),)</f>
        <v>Implementácia</v>
      </c>
      <c r="D20" s="367"/>
      <c r="E20" s="367"/>
      <c r="F20" s="367"/>
      <c r="G20" s="551"/>
      <c r="H20" s="370">
        <f t="shared" si="0"/>
        <v>-1</v>
      </c>
      <c r="I20" s="551"/>
      <c r="J20" s="370">
        <f t="shared" si="5"/>
        <v>-1</v>
      </c>
    </row>
    <row r="21" spans="1:10">
      <c r="A21" s="819"/>
      <c r="B21" s="820"/>
      <c r="C21" s="370" t="str">
        <f>IFERROR(IF(ISTEXT(B18),"Testovanie",""),)</f>
        <v>Testovanie</v>
      </c>
      <c r="D21" s="367"/>
      <c r="E21" s="367"/>
      <c r="F21" s="367"/>
      <c r="G21" s="551"/>
      <c r="H21" s="370">
        <f t="shared" si="0"/>
        <v>-1</v>
      </c>
      <c r="I21" s="551"/>
      <c r="J21" s="370">
        <f t="shared" si="5"/>
        <v>-1</v>
      </c>
    </row>
    <row r="22" spans="1:10">
      <c r="A22" s="819"/>
      <c r="B22" s="820"/>
      <c r="C22" s="370" t="str">
        <f>IFERROR(IF(ISTEXT(B18),"Nasadenie",""),)</f>
        <v>Nasadenie</v>
      </c>
      <c r="D22" s="367"/>
      <c r="E22" s="367"/>
      <c r="F22" s="367"/>
      <c r="G22" s="551"/>
      <c r="H22" s="370">
        <f t="shared" si="0"/>
        <v>-1</v>
      </c>
      <c r="I22" s="370">
        <f>J22-H22</f>
        <v>37</v>
      </c>
      <c r="J22" s="370">
        <f>IFERROR(ROUND((F18-$E$3+1)/30,0),)</f>
        <v>36</v>
      </c>
    </row>
    <row r="23" spans="1:10">
      <c r="A23" s="819">
        <v>5</v>
      </c>
      <c r="B23" s="820"/>
      <c r="C23" s="370" t="str">
        <f>IFERROR(IF(ISTEXT(B23),"Analýza a dizajn",""),)</f>
        <v/>
      </c>
      <c r="D23" s="370" t="str">
        <f>IFERROR(VLOOKUP(B23,MODULY_CBA!$B$3:$I$23,6,0),"")</f>
        <v/>
      </c>
      <c r="E23" s="371" t="str">
        <f>IFERROR(VLOOKUP(D23,INKREMENTY!$A$2:$F$21,2,0),"")</f>
        <v/>
      </c>
      <c r="F23" s="371" t="str">
        <f>IFERROR(VLOOKUP(D23,INKREMENTY!$A$2:$F$21,4,0),"")</f>
        <v/>
      </c>
      <c r="G23" s="370">
        <f>IFERROR(ROUND(((E23-$E$3)+1)/30,0)+1,)</f>
        <v>0</v>
      </c>
      <c r="H23" s="370">
        <f t="shared" si="0"/>
        <v>-1</v>
      </c>
      <c r="I23" s="551"/>
      <c r="J23" s="370">
        <f t="shared" ref="J23:J26" si="7">H23+I23</f>
        <v>-1</v>
      </c>
    </row>
    <row r="24" spans="1:10">
      <c r="A24" s="819"/>
      <c r="B24" s="820"/>
      <c r="C24" s="370" t="str">
        <f>IFERROR(IF(ISTEXT(B23),"Nákupo HW a krabicový SW",""),)</f>
        <v/>
      </c>
      <c r="D24" s="367"/>
      <c r="E24" s="367"/>
      <c r="F24" s="367"/>
      <c r="G24" s="551"/>
      <c r="H24" s="370">
        <f t="shared" ref="H24" si="8">G24-1</f>
        <v>-1</v>
      </c>
      <c r="I24" s="551"/>
      <c r="J24" s="370">
        <f t="shared" si="7"/>
        <v>-1</v>
      </c>
    </row>
    <row r="25" spans="1:10">
      <c r="A25" s="819"/>
      <c r="B25" s="820"/>
      <c r="C25" s="370" t="str">
        <f>IFERROR(IF(ISTEXT(B23),"Implementácia",""),)</f>
        <v/>
      </c>
      <c r="D25" s="367"/>
      <c r="E25" s="367"/>
      <c r="F25" s="367"/>
      <c r="G25" s="551"/>
      <c r="H25" s="370">
        <f t="shared" si="0"/>
        <v>-1</v>
      </c>
      <c r="I25" s="551"/>
      <c r="J25" s="370">
        <f t="shared" si="7"/>
        <v>-1</v>
      </c>
    </row>
    <row r="26" spans="1:10">
      <c r="A26" s="819"/>
      <c r="B26" s="820"/>
      <c r="C26" s="370" t="str">
        <f>IFERROR(IF(ISTEXT(B23),"Testovanie",""),)</f>
        <v/>
      </c>
      <c r="D26" s="367"/>
      <c r="E26" s="367"/>
      <c r="F26" s="367"/>
      <c r="G26" s="551"/>
      <c r="H26" s="370">
        <f t="shared" si="0"/>
        <v>-1</v>
      </c>
      <c r="I26" s="551"/>
      <c r="J26" s="370">
        <f t="shared" si="7"/>
        <v>-1</v>
      </c>
    </row>
    <row r="27" spans="1:10">
      <c r="A27" s="819"/>
      <c r="B27" s="820"/>
      <c r="C27" s="370" t="str">
        <f>IFERROR(IF(ISTEXT(B23),"Nasadenie",""),)</f>
        <v/>
      </c>
      <c r="D27" s="367"/>
      <c r="E27" s="367"/>
      <c r="F27" s="367"/>
      <c r="G27" s="551"/>
      <c r="H27" s="370">
        <f t="shared" si="0"/>
        <v>-1</v>
      </c>
      <c r="I27" s="370">
        <f>J27-H27</f>
        <v>1</v>
      </c>
      <c r="J27" s="370">
        <f>IFERROR(ROUND((F23-$E$3+1)/30,0),)</f>
        <v>0</v>
      </c>
    </row>
    <row r="28" spans="1:10">
      <c r="A28" s="819">
        <v>6</v>
      </c>
      <c r="B28" s="820"/>
      <c r="C28" s="370" t="str">
        <f>IFERROR(IF(ISTEXT(B28),"Analýza a dizajn",""),)</f>
        <v/>
      </c>
      <c r="D28" s="370" t="str">
        <f>IFERROR(VLOOKUP(B28,MODULY_CBA!$B$3:$I$23,6,0),"")</f>
        <v/>
      </c>
      <c r="E28" s="371" t="str">
        <f>IFERROR(VLOOKUP(D28,INKREMENTY!$A$2:$F$21,2,0),"")</f>
        <v/>
      </c>
      <c r="F28" s="371" t="str">
        <f>IFERROR(VLOOKUP(D28,INKREMENTY!$A$2:$F$21,4,0),"")</f>
        <v/>
      </c>
      <c r="G28" s="370">
        <f>IFERROR(ROUND(((E28-$E$3)+1)/30,0)+1,)</f>
        <v>0</v>
      </c>
      <c r="H28" s="370">
        <f t="shared" ref="H28:H91" si="9">G28-1</f>
        <v>-1</v>
      </c>
      <c r="I28" s="551"/>
      <c r="J28" s="370">
        <f t="shared" ref="J28:J31" si="10">H28+I28</f>
        <v>-1</v>
      </c>
    </row>
    <row r="29" spans="1:10">
      <c r="A29" s="819"/>
      <c r="B29" s="820"/>
      <c r="C29" s="370" t="str">
        <f>IFERROR(IF(ISTEXT(B28),"Nákupo HW a krabicový SW",""),)</f>
        <v/>
      </c>
      <c r="D29" s="367"/>
      <c r="E29" s="367"/>
      <c r="F29" s="367"/>
      <c r="G29" s="551"/>
      <c r="H29" s="370">
        <f t="shared" si="9"/>
        <v>-1</v>
      </c>
      <c r="I29" s="551"/>
      <c r="J29" s="370">
        <f t="shared" si="10"/>
        <v>-1</v>
      </c>
    </row>
    <row r="30" spans="1:10">
      <c r="A30" s="819"/>
      <c r="B30" s="820"/>
      <c r="C30" s="370" t="str">
        <f>IFERROR(IF(ISTEXT(B28),"Implementácia",""),)</f>
        <v/>
      </c>
      <c r="D30" s="367"/>
      <c r="E30" s="367"/>
      <c r="F30" s="367"/>
      <c r="G30" s="551"/>
      <c r="H30" s="370">
        <f t="shared" si="9"/>
        <v>-1</v>
      </c>
      <c r="I30" s="551"/>
      <c r="J30" s="370">
        <f t="shared" si="10"/>
        <v>-1</v>
      </c>
    </row>
    <row r="31" spans="1:10">
      <c r="A31" s="819"/>
      <c r="B31" s="820"/>
      <c r="C31" s="370" t="str">
        <f>IFERROR(IF(ISTEXT(B28),"Testovanie",""),)</f>
        <v/>
      </c>
      <c r="D31" s="367"/>
      <c r="E31" s="367"/>
      <c r="F31" s="367"/>
      <c r="G31" s="551"/>
      <c r="H31" s="370">
        <f t="shared" si="9"/>
        <v>-1</v>
      </c>
      <c r="I31" s="551"/>
      <c r="J31" s="370">
        <f t="shared" si="10"/>
        <v>-1</v>
      </c>
    </row>
    <row r="32" spans="1:10">
      <c r="A32" s="819"/>
      <c r="B32" s="820"/>
      <c r="C32" s="370" t="str">
        <f>IFERROR(IF(ISTEXT(B28),"Nasadenie",""),)</f>
        <v/>
      </c>
      <c r="D32" s="367"/>
      <c r="E32" s="367"/>
      <c r="F32" s="367"/>
      <c r="G32" s="551"/>
      <c r="H32" s="370">
        <f t="shared" si="9"/>
        <v>-1</v>
      </c>
      <c r="I32" s="370">
        <f>J32-H32</f>
        <v>1</v>
      </c>
      <c r="J32" s="370">
        <f>IFERROR(ROUND((F28-$E$3+1)/30,0),)</f>
        <v>0</v>
      </c>
    </row>
    <row r="33" spans="1:10">
      <c r="A33" s="819">
        <v>7</v>
      </c>
      <c r="B33" s="820"/>
      <c r="C33" s="370" t="str">
        <f>IFERROR(IF(ISTEXT(B33),"Analýza a dizajn",""),)</f>
        <v/>
      </c>
      <c r="D33" s="370" t="str">
        <f>IFERROR(VLOOKUP(B33,MODULY_CBA!$B$3:$I$23,6,0),"")</f>
        <v/>
      </c>
      <c r="E33" s="371" t="str">
        <f>IFERROR(VLOOKUP(D33,INKREMENTY!$A$2:$F$21,2,0),"")</f>
        <v/>
      </c>
      <c r="F33" s="371" t="str">
        <f>IFERROR(VLOOKUP(D33,INKREMENTY!$A$2:$F$21,4,0),"")</f>
        <v/>
      </c>
      <c r="G33" s="370">
        <f>IFERROR(ROUND(((E33-$E$3)+1)/30,0)+1,)</f>
        <v>0</v>
      </c>
      <c r="H33" s="370">
        <f t="shared" si="9"/>
        <v>-1</v>
      </c>
      <c r="I33" s="551"/>
      <c r="J33" s="370">
        <f t="shared" ref="J33:J36" si="11">H33+I33</f>
        <v>-1</v>
      </c>
    </row>
    <row r="34" spans="1:10">
      <c r="A34" s="819"/>
      <c r="B34" s="820"/>
      <c r="C34" s="370" t="str">
        <f>IFERROR(IF(ISTEXT(B33),"Nákupo HW a krabicový SW",""),)</f>
        <v/>
      </c>
      <c r="D34" s="367"/>
      <c r="E34" s="367"/>
      <c r="F34" s="367"/>
      <c r="G34" s="551"/>
      <c r="H34" s="370">
        <f t="shared" si="9"/>
        <v>-1</v>
      </c>
      <c r="I34" s="551"/>
      <c r="J34" s="370">
        <f t="shared" si="11"/>
        <v>-1</v>
      </c>
    </row>
    <row r="35" spans="1:10">
      <c r="A35" s="819"/>
      <c r="B35" s="820"/>
      <c r="C35" s="370" t="str">
        <f>IFERROR(IF(ISTEXT(B33),"Implementácia",""),)</f>
        <v/>
      </c>
      <c r="D35" s="367"/>
      <c r="E35" s="367"/>
      <c r="F35" s="367"/>
      <c r="G35" s="551"/>
      <c r="H35" s="370">
        <f t="shared" si="9"/>
        <v>-1</v>
      </c>
      <c r="I35" s="551"/>
      <c r="J35" s="370">
        <f t="shared" si="11"/>
        <v>-1</v>
      </c>
    </row>
    <row r="36" spans="1:10">
      <c r="A36" s="819"/>
      <c r="B36" s="820"/>
      <c r="C36" s="370" t="str">
        <f>IFERROR(IF(ISTEXT(B33),"Testovanie",""),)</f>
        <v/>
      </c>
      <c r="D36" s="367"/>
      <c r="E36" s="367"/>
      <c r="F36" s="367"/>
      <c r="G36" s="551"/>
      <c r="H36" s="370">
        <f t="shared" si="9"/>
        <v>-1</v>
      </c>
      <c r="I36" s="551"/>
      <c r="J36" s="370">
        <f t="shared" si="11"/>
        <v>-1</v>
      </c>
    </row>
    <row r="37" spans="1:10">
      <c r="A37" s="819"/>
      <c r="B37" s="820"/>
      <c r="C37" s="370" t="str">
        <f>IFERROR(IF(ISTEXT(B33),"Nasadenie",""),)</f>
        <v/>
      </c>
      <c r="D37" s="367"/>
      <c r="E37" s="367"/>
      <c r="F37" s="367"/>
      <c r="G37" s="551"/>
      <c r="H37" s="370">
        <f t="shared" si="9"/>
        <v>-1</v>
      </c>
      <c r="I37" s="370">
        <f>J37-H37</f>
        <v>1</v>
      </c>
      <c r="J37" s="370">
        <f>IFERROR(ROUND((F33-$E$3+1)/30,0),)</f>
        <v>0</v>
      </c>
    </row>
    <row r="38" spans="1:10">
      <c r="A38" s="819">
        <v>8</v>
      </c>
      <c r="B38" s="820"/>
      <c r="C38" s="370" t="str">
        <f>IFERROR(IF(ISTEXT(B38),"Analýza a dizajn",""),)</f>
        <v/>
      </c>
      <c r="D38" s="370" t="str">
        <f>IFERROR(VLOOKUP(B38,MODULY_CBA!$B$3:$I$23,6,0),"")</f>
        <v/>
      </c>
      <c r="E38" s="371" t="str">
        <f>IFERROR(VLOOKUP(D38,INKREMENTY!$A$2:$F$21,2,0),"")</f>
        <v/>
      </c>
      <c r="F38" s="371" t="str">
        <f>IFERROR(VLOOKUP(D38,INKREMENTY!$A$2:$F$21,4,0),"")</f>
        <v/>
      </c>
      <c r="G38" s="370">
        <f>IFERROR(ROUND(((E38-$E$3)+1)/30,0)+1,)</f>
        <v>0</v>
      </c>
      <c r="H38" s="370">
        <f t="shared" si="9"/>
        <v>-1</v>
      </c>
      <c r="I38" s="551"/>
      <c r="J38" s="370">
        <f t="shared" ref="J38:J41" si="12">H38+I38</f>
        <v>-1</v>
      </c>
    </row>
    <row r="39" spans="1:10">
      <c r="A39" s="819"/>
      <c r="B39" s="820"/>
      <c r="C39" s="370" t="str">
        <f>IFERROR(IF(ISTEXT(B38),"Nákupo HW a krabicový SW",""),)</f>
        <v/>
      </c>
      <c r="D39" s="367"/>
      <c r="E39" s="367"/>
      <c r="F39" s="367"/>
      <c r="G39" s="551"/>
      <c r="H39" s="370">
        <f t="shared" si="9"/>
        <v>-1</v>
      </c>
      <c r="I39" s="551"/>
      <c r="J39" s="370">
        <f t="shared" si="12"/>
        <v>-1</v>
      </c>
    </row>
    <row r="40" spans="1:10">
      <c r="A40" s="819"/>
      <c r="B40" s="820"/>
      <c r="C40" s="370" t="str">
        <f>IFERROR(IF(ISTEXT(B38),"Implementácia",""),)</f>
        <v/>
      </c>
      <c r="D40" s="367"/>
      <c r="E40" s="367"/>
      <c r="F40" s="367"/>
      <c r="G40" s="551"/>
      <c r="H40" s="370">
        <f t="shared" si="9"/>
        <v>-1</v>
      </c>
      <c r="I40" s="551"/>
      <c r="J40" s="370">
        <f t="shared" si="12"/>
        <v>-1</v>
      </c>
    </row>
    <row r="41" spans="1:10">
      <c r="A41" s="819"/>
      <c r="B41" s="820"/>
      <c r="C41" s="370" t="str">
        <f>IFERROR(IF(ISTEXT(B38),"Testovanie",""),)</f>
        <v/>
      </c>
      <c r="D41" s="367"/>
      <c r="E41" s="367"/>
      <c r="F41" s="367"/>
      <c r="G41" s="551"/>
      <c r="H41" s="370">
        <f t="shared" si="9"/>
        <v>-1</v>
      </c>
      <c r="I41" s="551"/>
      <c r="J41" s="370">
        <f t="shared" si="12"/>
        <v>-1</v>
      </c>
    </row>
    <row r="42" spans="1:10">
      <c r="A42" s="819"/>
      <c r="B42" s="820"/>
      <c r="C42" s="370" t="str">
        <f>IFERROR(IF(ISTEXT(B38),"Nasadenie",""),)</f>
        <v/>
      </c>
      <c r="D42" s="367"/>
      <c r="E42" s="367"/>
      <c r="F42" s="367"/>
      <c r="G42" s="551"/>
      <c r="H42" s="370">
        <f t="shared" si="9"/>
        <v>-1</v>
      </c>
      <c r="I42" s="370">
        <f>J42-H42</f>
        <v>1</v>
      </c>
      <c r="J42" s="370">
        <f>IFERROR(ROUND((F38-$E$3+1)/30,0),)</f>
        <v>0</v>
      </c>
    </row>
    <row r="43" spans="1:10">
      <c r="A43" s="819">
        <v>9</v>
      </c>
      <c r="B43" s="820"/>
      <c r="C43" s="370" t="str">
        <f>IFERROR(IF(ISTEXT(B43),"Analýza a dizajn",""),)</f>
        <v/>
      </c>
      <c r="D43" s="370" t="str">
        <f>IFERROR(VLOOKUP(B43,MODULY_CBA!$B$3:$I$23,6,0),"")</f>
        <v/>
      </c>
      <c r="E43" s="371" t="str">
        <f>IFERROR(VLOOKUP(D43,INKREMENTY!$A$2:$F$21,2,0),"")</f>
        <v/>
      </c>
      <c r="F43" s="371" t="str">
        <f>IFERROR(VLOOKUP(D43,INKREMENTY!$A$2:$F$21,4,0),"")</f>
        <v/>
      </c>
      <c r="G43" s="370">
        <f>IFERROR(ROUND(((E43-$E$3)+1)/30,0)+1,)</f>
        <v>0</v>
      </c>
      <c r="H43" s="370">
        <f t="shared" si="9"/>
        <v>-1</v>
      </c>
      <c r="I43" s="551"/>
      <c r="J43" s="370">
        <f t="shared" ref="J43:J46" si="13">H43+I43</f>
        <v>-1</v>
      </c>
    </row>
    <row r="44" spans="1:10">
      <c r="A44" s="819"/>
      <c r="B44" s="820"/>
      <c r="C44" s="370" t="str">
        <f>IFERROR(IF(ISTEXT(B43),"Nákupo HW a krabicový SW",""),)</f>
        <v/>
      </c>
      <c r="D44" s="367"/>
      <c r="E44" s="367"/>
      <c r="F44" s="367"/>
      <c r="G44" s="551"/>
      <c r="H44" s="370">
        <f t="shared" si="9"/>
        <v>-1</v>
      </c>
      <c r="I44" s="551"/>
      <c r="J44" s="370">
        <f t="shared" si="13"/>
        <v>-1</v>
      </c>
    </row>
    <row r="45" spans="1:10">
      <c r="A45" s="819"/>
      <c r="B45" s="820"/>
      <c r="C45" s="370" t="str">
        <f>IFERROR(IF(ISTEXT(B43),"Implementácia",""),)</f>
        <v/>
      </c>
      <c r="D45" s="367"/>
      <c r="E45" s="367"/>
      <c r="F45" s="367"/>
      <c r="G45" s="551"/>
      <c r="H45" s="370">
        <f t="shared" si="9"/>
        <v>-1</v>
      </c>
      <c r="I45" s="551"/>
      <c r="J45" s="370">
        <f t="shared" si="13"/>
        <v>-1</v>
      </c>
    </row>
    <row r="46" spans="1:10">
      <c r="A46" s="819"/>
      <c r="B46" s="820"/>
      <c r="C46" s="370" t="str">
        <f>IFERROR(IF(ISTEXT(B43),"Testovanie",""),)</f>
        <v/>
      </c>
      <c r="D46" s="367"/>
      <c r="E46" s="367"/>
      <c r="F46" s="367"/>
      <c r="G46" s="551"/>
      <c r="H46" s="370">
        <f t="shared" si="9"/>
        <v>-1</v>
      </c>
      <c r="I46" s="551"/>
      <c r="J46" s="370">
        <f t="shared" si="13"/>
        <v>-1</v>
      </c>
    </row>
    <row r="47" spans="1:10">
      <c r="A47" s="819"/>
      <c r="B47" s="820"/>
      <c r="C47" s="370" t="str">
        <f>IFERROR(IF(ISTEXT(B43),"Nasadenie",""),)</f>
        <v/>
      </c>
      <c r="D47" s="367"/>
      <c r="E47" s="367"/>
      <c r="F47" s="367"/>
      <c r="G47" s="551"/>
      <c r="H47" s="370">
        <f t="shared" si="9"/>
        <v>-1</v>
      </c>
      <c r="I47" s="370">
        <f>J47-H47</f>
        <v>1</v>
      </c>
      <c r="J47" s="370">
        <f>IFERROR(ROUND((F43-$E$3+1)/30,0),)</f>
        <v>0</v>
      </c>
    </row>
    <row r="48" spans="1:10">
      <c r="A48" s="819">
        <v>10</v>
      </c>
      <c r="B48" s="820"/>
      <c r="C48" s="370" t="str">
        <f>IFERROR(IF(ISTEXT(B48),"Analýza a dizajn",""),)</f>
        <v/>
      </c>
      <c r="D48" s="370" t="str">
        <f>IFERROR(VLOOKUP(B48,MODULY_CBA!$B$3:$I$23,6,0),"")</f>
        <v/>
      </c>
      <c r="E48" s="371" t="str">
        <f>IFERROR(VLOOKUP(D48,INKREMENTY!$A$2:$F$21,2,0),"")</f>
        <v/>
      </c>
      <c r="F48" s="371" t="str">
        <f>IFERROR(VLOOKUP(D48,INKREMENTY!$A$2:$F$21,4,0),"")</f>
        <v/>
      </c>
      <c r="G48" s="370">
        <f>IFERROR(ROUND(((E48-$E$3)+1)/30,0)+1,)</f>
        <v>0</v>
      </c>
      <c r="H48" s="370">
        <f t="shared" si="9"/>
        <v>-1</v>
      </c>
      <c r="I48" s="551"/>
      <c r="J48" s="370">
        <f t="shared" ref="J48:J51" si="14">H48+I48</f>
        <v>-1</v>
      </c>
    </row>
    <row r="49" spans="1:10">
      <c r="A49" s="819"/>
      <c r="B49" s="820"/>
      <c r="C49" s="370" t="str">
        <f>IFERROR(IF(ISTEXT(B48),"Nákupo HW a krabicový SW",""),)</f>
        <v/>
      </c>
      <c r="D49" s="367"/>
      <c r="E49" s="367"/>
      <c r="F49" s="367"/>
      <c r="G49" s="551"/>
      <c r="H49" s="370">
        <f t="shared" si="9"/>
        <v>-1</v>
      </c>
      <c r="I49" s="551"/>
      <c r="J49" s="370">
        <f t="shared" si="14"/>
        <v>-1</v>
      </c>
    </row>
    <row r="50" spans="1:10">
      <c r="A50" s="819"/>
      <c r="B50" s="820"/>
      <c r="C50" s="370" t="str">
        <f>IFERROR(IF(ISTEXT(B48),"Implementácia",""),)</f>
        <v/>
      </c>
      <c r="D50" s="367"/>
      <c r="E50" s="367"/>
      <c r="F50" s="367"/>
      <c r="G50" s="551"/>
      <c r="H50" s="370">
        <f t="shared" si="9"/>
        <v>-1</v>
      </c>
      <c r="I50" s="551"/>
      <c r="J50" s="370">
        <f t="shared" si="14"/>
        <v>-1</v>
      </c>
    </row>
    <row r="51" spans="1:10">
      <c r="A51" s="819"/>
      <c r="B51" s="820"/>
      <c r="C51" s="370" t="str">
        <f>IFERROR(IF(ISTEXT(B48),"Testovanie",""),)</f>
        <v/>
      </c>
      <c r="D51" s="367"/>
      <c r="E51" s="367"/>
      <c r="F51" s="367"/>
      <c r="G51" s="551"/>
      <c r="H51" s="370">
        <f t="shared" si="9"/>
        <v>-1</v>
      </c>
      <c r="I51" s="551"/>
      <c r="J51" s="370">
        <f t="shared" si="14"/>
        <v>-1</v>
      </c>
    </row>
    <row r="52" spans="1:10">
      <c r="A52" s="819"/>
      <c r="B52" s="820"/>
      <c r="C52" s="370" t="str">
        <f>IFERROR(IF(ISTEXT(B48),"Nasadenie",""),)</f>
        <v/>
      </c>
      <c r="D52" s="367"/>
      <c r="E52" s="367"/>
      <c r="F52" s="367"/>
      <c r="G52" s="551"/>
      <c r="H52" s="370">
        <f t="shared" si="9"/>
        <v>-1</v>
      </c>
      <c r="I52" s="370">
        <f>J52-H52</f>
        <v>1</v>
      </c>
      <c r="J52" s="370">
        <f>IFERROR(ROUND((F48-$E$3+1)/30,0),)</f>
        <v>0</v>
      </c>
    </row>
    <row r="53" spans="1:10">
      <c r="A53" s="819">
        <v>11</v>
      </c>
      <c r="B53" s="820"/>
      <c r="C53" s="370" t="str">
        <f>IFERROR(IF(ISTEXT(B53),"Analýza a dizajn",""),)</f>
        <v/>
      </c>
      <c r="D53" s="370" t="str">
        <f>IFERROR(VLOOKUP(B53,MODULY_CBA!$B$3:$I$23,6,0),"")</f>
        <v/>
      </c>
      <c r="E53" s="371" t="str">
        <f>IFERROR(VLOOKUP(D53,INKREMENTY!$A$2:$F$21,2,0),"")</f>
        <v/>
      </c>
      <c r="F53" s="371" t="str">
        <f>IFERROR(VLOOKUP(D53,INKREMENTY!$A$2:$F$21,4,0),"")</f>
        <v/>
      </c>
      <c r="G53" s="370">
        <f>IFERROR(ROUND(((E53-$E$3)+1)/30,0)+1,)</f>
        <v>0</v>
      </c>
      <c r="H53" s="370">
        <f t="shared" si="9"/>
        <v>-1</v>
      </c>
      <c r="I53" s="551"/>
      <c r="J53" s="370">
        <f t="shared" ref="J53:J56" si="15">H53+I53</f>
        <v>-1</v>
      </c>
    </row>
    <row r="54" spans="1:10">
      <c r="A54" s="819"/>
      <c r="B54" s="820"/>
      <c r="C54" s="370" t="str">
        <f>IFERROR(IF(ISTEXT(B53),"Nákupo HW a krabicový SW",""),)</f>
        <v/>
      </c>
      <c r="D54" s="367"/>
      <c r="E54" s="367"/>
      <c r="F54" s="367"/>
      <c r="G54" s="551"/>
      <c r="H54" s="370">
        <f t="shared" si="9"/>
        <v>-1</v>
      </c>
      <c r="I54" s="551"/>
      <c r="J54" s="370">
        <f t="shared" si="15"/>
        <v>-1</v>
      </c>
    </row>
    <row r="55" spans="1:10">
      <c r="A55" s="819"/>
      <c r="B55" s="820"/>
      <c r="C55" s="370" t="str">
        <f>IFERROR(IF(ISTEXT(B53),"Implementácia",""),)</f>
        <v/>
      </c>
      <c r="D55" s="367"/>
      <c r="E55" s="367"/>
      <c r="F55" s="367"/>
      <c r="G55" s="551"/>
      <c r="H55" s="370">
        <f t="shared" si="9"/>
        <v>-1</v>
      </c>
      <c r="I55" s="551"/>
      <c r="J55" s="370">
        <f t="shared" si="15"/>
        <v>-1</v>
      </c>
    </row>
    <row r="56" spans="1:10">
      <c r="A56" s="819"/>
      <c r="B56" s="820"/>
      <c r="C56" s="370" t="str">
        <f>IFERROR(IF(ISTEXT(B53),"Testovanie",""),)</f>
        <v/>
      </c>
      <c r="D56" s="367"/>
      <c r="E56" s="367"/>
      <c r="F56" s="367"/>
      <c r="G56" s="551"/>
      <c r="H56" s="370">
        <f t="shared" si="9"/>
        <v>-1</v>
      </c>
      <c r="I56" s="551"/>
      <c r="J56" s="370">
        <f t="shared" si="15"/>
        <v>-1</v>
      </c>
    </row>
    <row r="57" spans="1:10">
      <c r="A57" s="819"/>
      <c r="B57" s="820"/>
      <c r="C57" s="370" t="str">
        <f>IFERROR(IF(ISTEXT(B53),"Nasadenie",""),)</f>
        <v/>
      </c>
      <c r="D57" s="367"/>
      <c r="E57" s="367"/>
      <c r="F57" s="367"/>
      <c r="G57" s="551"/>
      <c r="H57" s="370">
        <f t="shared" si="9"/>
        <v>-1</v>
      </c>
      <c r="I57" s="370">
        <f>J57-H57</f>
        <v>1</v>
      </c>
      <c r="J57" s="370">
        <f>IFERROR(ROUND((F53-$E$3+1)/30,0),)</f>
        <v>0</v>
      </c>
    </row>
    <row r="58" spans="1:10">
      <c r="A58" s="819">
        <v>12</v>
      </c>
      <c r="B58" s="820"/>
      <c r="C58" s="370" t="str">
        <f>IFERROR(IF(ISTEXT(B58),"Analýza a dizajn",""),)</f>
        <v/>
      </c>
      <c r="D58" s="370" t="str">
        <f>IFERROR(VLOOKUP(B58,MODULY_CBA!$B$3:$I$23,6,0),"")</f>
        <v/>
      </c>
      <c r="E58" s="371" t="str">
        <f>IFERROR(VLOOKUP(D58,INKREMENTY!$A$2:$F$21,2,0),"")</f>
        <v/>
      </c>
      <c r="F58" s="371" t="str">
        <f>IFERROR(VLOOKUP(D58,INKREMENTY!$A$2:$F$21,4,0),"")</f>
        <v/>
      </c>
      <c r="G58" s="370">
        <f>IFERROR(ROUND(((E58-$E$3)+1)/30,0)+1,)</f>
        <v>0</v>
      </c>
      <c r="H58" s="370">
        <f t="shared" si="9"/>
        <v>-1</v>
      </c>
      <c r="I58" s="551"/>
      <c r="J58" s="370">
        <f t="shared" ref="J58:J61" si="16">H58+I58</f>
        <v>-1</v>
      </c>
    </row>
    <row r="59" spans="1:10">
      <c r="A59" s="819"/>
      <c r="B59" s="820"/>
      <c r="C59" s="370" t="str">
        <f>IFERROR(IF(ISTEXT(B58),"Nákupo HW a krabicový SW",""),)</f>
        <v/>
      </c>
      <c r="D59" s="367"/>
      <c r="E59" s="367"/>
      <c r="F59" s="367"/>
      <c r="G59" s="551"/>
      <c r="H59" s="370">
        <f t="shared" si="9"/>
        <v>-1</v>
      </c>
      <c r="I59" s="551"/>
      <c r="J59" s="370">
        <f t="shared" si="16"/>
        <v>-1</v>
      </c>
    </row>
    <row r="60" spans="1:10">
      <c r="A60" s="819"/>
      <c r="B60" s="820"/>
      <c r="C60" s="370" t="str">
        <f>IFERROR(IF(ISTEXT(B58),"Implementácia",""),)</f>
        <v/>
      </c>
      <c r="D60" s="367"/>
      <c r="E60" s="367"/>
      <c r="F60" s="367"/>
      <c r="G60" s="551"/>
      <c r="H60" s="370">
        <f t="shared" si="9"/>
        <v>-1</v>
      </c>
      <c r="I60" s="551"/>
      <c r="J60" s="370">
        <f t="shared" si="16"/>
        <v>-1</v>
      </c>
    </row>
    <row r="61" spans="1:10">
      <c r="A61" s="819"/>
      <c r="B61" s="820"/>
      <c r="C61" s="370" t="str">
        <f>IFERROR(IF(ISTEXT(B58),"Testovanie",""),)</f>
        <v/>
      </c>
      <c r="D61" s="367"/>
      <c r="E61" s="367"/>
      <c r="F61" s="367"/>
      <c r="G61" s="551"/>
      <c r="H61" s="370">
        <f t="shared" si="9"/>
        <v>-1</v>
      </c>
      <c r="I61" s="551"/>
      <c r="J61" s="370">
        <f t="shared" si="16"/>
        <v>-1</v>
      </c>
    </row>
    <row r="62" spans="1:10">
      <c r="A62" s="819"/>
      <c r="B62" s="820"/>
      <c r="C62" s="370" t="str">
        <f>IFERROR(IF(ISTEXT(B58),"Nasadenie",""),)</f>
        <v/>
      </c>
      <c r="D62" s="367"/>
      <c r="E62" s="367"/>
      <c r="F62" s="367"/>
      <c r="G62" s="551"/>
      <c r="H62" s="370">
        <f t="shared" si="9"/>
        <v>-1</v>
      </c>
      <c r="I62" s="370">
        <f>J62-H62</f>
        <v>1</v>
      </c>
      <c r="J62" s="370">
        <f>IFERROR(ROUND((F58-$E$3+1)/30,0),)</f>
        <v>0</v>
      </c>
    </row>
    <row r="63" spans="1:10">
      <c r="A63" s="819">
        <v>13</v>
      </c>
      <c r="B63" s="820"/>
      <c r="C63" s="370" t="str">
        <f>IFERROR(IF(ISTEXT(B63),"Analýza a dizajn",""),)</f>
        <v/>
      </c>
      <c r="D63" s="370" t="str">
        <f>IFERROR(VLOOKUP(B63,MODULY_CBA!$B$3:$I$23,6,0),"")</f>
        <v/>
      </c>
      <c r="E63" s="371" t="str">
        <f>IFERROR(VLOOKUP(D63,INKREMENTY!$A$2:$F$21,2,0),"")</f>
        <v/>
      </c>
      <c r="F63" s="371" t="str">
        <f>IFERROR(VLOOKUP(D63,INKREMENTY!$A$2:$F$21,4,0),"")</f>
        <v/>
      </c>
      <c r="G63" s="370">
        <f>IFERROR(ROUND(((E63-$E$3)+1)/30,0)+1,)</f>
        <v>0</v>
      </c>
      <c r="H63" s="370">
        <f t="shared" si="9"/>
        <v>-1</v>
      </c>
      <c r="I63" s="551"/>
      <c r="J63" s="370">
        <f t="shared" ref="J63:J66" si="17">H63+I63</f>
        <v>-1</v>
      </c>
    </row>
    <row r="64" spans="1:10">
      <c r="A64" s="819"/>
      <c r="B64" s="820"/>
      <c r="C64" s="370" t="str">
        <f>IFERROR(IF(ISTEXT(B63),"Nákupo HW a krabicový SW",""),)</f>
        <v/>
      </c>
      <c r="D64" s="367"/>
      <c r="E64" s="367"/>
      <c r="F64" s="367"/>
      <c r="G64" s="551"/>
      <c r="H64" s="370">
        <f t="shared" si="9"/>
        <v>-1</v>
      </c>
      <c r="I64" s="551"/>
      <c r="J64" s="370">
        <f t="shared" si="17"/>
        <v>-1</v>
      </c>
    </row>
    <row r="65" spans="1:10">
      <c r="A65" s="819"/>
      <c r="B65" s="820"/>
      <c r="C65" s="370" t="str">
        <f>IFERROR(IF(ISTEXT(B63),"Implementácia",""),)</f>
        <v/>
      </c>
      <c r="D65" s="367"/>
      <c r="E65" s="367"/>
      <c r="F65" s="367"/>
      <c r="G65" s="551"/>
      <c r="H65" s="370">
        <f t="shared" si="9"/>
        <v>-1</v>
      </c>
      <c r="I65" s="551"/>
      <c r="J65" s="370">
        <f t="shared" si="17"/>
        <v>-1</v>
      </c>
    </row>
    <row r="66" spans="1:10">
      <c r="A66" s="819"/>
      <c r="B66" s="820"/>
      <c r="C66" s="370" t="str">
        <f>IFERROR(IF(ISTEXT(B63),"Testovanie",""),)</f>
        <v/>
      </c>
      <c r="D66" s="367"/>
      <c r="E66" s="367"/>
      <c r="F66" s="367"/>
      <c r="G66" s="551"/>
      <c r="H66" s="370">
        <f t="shared" si="9"/>
        <v>-1</v>
      </c>
      <c r="I66" s="551"/>
      <c r="J66" s="370">
        <f t="shared" si="17"/>
        <v>-1</v>
      </c>
    </row>
    <row r="67" spans="1:10">
      <c r="A67" s="819"/>
      <c r="B67" s="820"/>
      <c r="C67" s="370" t="str">
        <f>IFERROR(IF(ISTEXT(B63),"Nasadenie",""),)</f>
        <v/>
      </c>
      <c r="D67" s="367"/>
      <c r="E67" s="367"/>
      <c r="F67" s="367"/>
      <c r="G67" s="551"/>
      <c r="H67" s="370">
        <f t="shared" si="9"/>
        <v>-1</v>
      </c>
      <c r="I67" s="370">
        <f>J67-H67</f>
        <v>1</v>
      </c>
      <c r="J67" s="370">
        <f>IFERROR(ROUND((F63-$E$3+1)/30,0),)</f>
        <v>0</v>
      </c>
    </row>
    <row r="68" spans="1:10">
      <c r="A68" s="819">
        <v>14</v>
      </c>
      <c r="B68" s="820"/>
      <c r="C68" s="370" t="str">
        <f>IFERROR(IF(ISTEXT(B68),"Analýza a dizajn",""),)</f>
        <v/>
      </c>
      <c r="D68" s="370" t="str">
        <f>IFERROR(VLOOKUP(B68,MODULY_CBA!$B$3:$I$23,6,0),"")</f>
        <v/>
      </c>
      <c r="E68" s="371" t="str">
        <f>IFERROR(VLOOKUP(D68,INKREMENTY!$A$2:$F$21,2,0),"")</f>
        <v/>
      </c>
      <c r="F68" s="371" t="str">
        <f>IFERROR(VLOOKUP(D68,INKREMENTY!$A$2:$F$21,4,0),"")</f>
        <v/>
      </c>
      <c r="G68" s="370">
        <f>IFERROR(ROUND(((E68-$E$3)+1)/30,0)+1,)</f>
        <v>0</v>
      </c>
      <c r="H68" s="370">
        <f t="shared" si="9"/>
        <v>-1</v>
      </c>
      <c r="I68" s="551"/>
      <c r="J68" s="370">
        <f t="shared" ref="J68:J71" si="18">H68+I68</f>
        <v>-1</v>
      </c>
    </row>
    <row r="69" spans="1:10">
      <c r="A69" s="819"/>
      <c r="B69" s="820"/>
      <c r="C69" s="370" t="str">
        <f>IFERROR(IF(ISTEXT(B68),"Nákupo HW a krabicový SW",""),)</f>
        <v/>
      </c>
      <c r="D69" s="367"/>
      <c r="E69" s="367"/>
      <c r="F69" s="367"/>
      <c r="G69" s="551"/>
      <c r="H69" s="370">
        <f t="shared" si="9"/>
        <v>-1</v>
      </c>
      <c r="I69" s="551"/>
      <c r="J69" s="370">
        <f t="shared" si="18"/>
        <v>-1</v>
      </c>
    </row>
    <row r="70" spans="1:10">
      <c r="A70" s="819"/>
      <c r="B70" s="820"/>
      <c r="C70" s="370" t="str">
        <f>IFERROR(IF(ISTEXT(B68),"Implementácia",""),)</f>
        <v/>
      </c>
      <c r="D70" s="367"/>
      <c r="E70" s="367"/>
      <c r="F70" s="367"/>
      <c r="G70" s="551"/>
      <c r="H70" s="370">
        <f t="shared" si="9"/>
        <v>-1</v>
      </c>
      <c r="I70" s="551"/>
      <c r="J70" s="370">
        <f t="shared" si="18"/>
        <v>-1</v>
      </c>
    </row>
    <row r="71" spans="1:10">
      <c r="A71" s="819"/>
      <c r="B71" s="820"/>
      <c r="C71" s="370" t="str">
        <f>IFERROR(IF(ISTEXT(B68),"Testovanie",""),)</f>
        <v/>
      </c>
      <c r="D71" s="367"/>
      <c r="E71" s="367"/>
      <c r="F71" s="367"/>
      <c r="G71" s="551"/>
      <c r="H71" s="370">
        <f t="shared" si="9"/>
        <v>-1</v>
      </c>
      <c r="I71" s="551"/>
      <c r="J71" s="370">
        <f t="shared" si="18"/>
        <v>-1</v>
      </c>
    </row>
    <row r="72" spans="1:10">
      <c r="A72" s="819"/>
      <c r="B72" s="820"/>
      <c r="C72" s="370" t="str">
        <f>IFERROR(IF(ISTEXT(B68),"Nasadenie",""),)</f>
        <v/>
      </c>
      <c r="D72" s="367"/>
      <c r="E72" s="367"/>
      <c r="F72" s="367"/>
      <c r="G72" s="551"/>
      <c r="H72" s="370">
        <f t="shared" si="9"/>
        <v>-1</v>
      </c>
      <c r="I72" s="370">
        <f>J72-H72</f>
        <v>1</v>
      </c>
      <c r="J72" s="370">
        <f>IFERROR(ROUND((F68-$E$3+1)/30,0),)</f>
        <v>0</v>
      </c>
    </row>
    <row r="73" spans="1:10">
      <c r="A73" s="819">
        <v>15</v>
      </c>
      <c r="B73" s="820"/>
      <c r="C73" s="370" t="str">
        <f>IFERROR(IF(ISTEXT(B73),"Analýza a dizajn",""),)</f>
        <v/>
      </c>
      <c r="D73" s="370" t="str">
        <f>IFERROR(VLOOKUP(B73,MODULY_CBA!$B$3:$I$23,6,0),"")</f>
        <v/>
      </c>
      <c r="E73" s="371" t="str">
        <f>IFERROR(VLOOKUP(D73,INKREMENTY!$A$2:$F$21,2,0),"")</f>
        <v/>
      </c>
      <c r="F73" s="371" t="str">
        <f>IFERROR(VLOOKUP(D73,INKREMENTY!$A$2:$F$21,4,0),"")</f>
        <v/>
      </c>
      <c r="G73" s="370">
        <f>IFERROR(ROUND(((E73-$E$3)+1)/30,0)+1,)</f>
        <v>0</v>
      </c>
      <c r="H73" s="370">
        <f t="shared" si="9"/>
        <v>-1</v>
      </c>
      <c r="I73" s="551"/>
      <c r="J73" s="370">
        <f t="shared" ref="J73:J76" si="19">H73+I73</f>
        <v>-1</v>
      </c>
    </row>
    <row r="74" spans="1:10">
      <c r="A74" s="819"/>
      <c r="B74" s="820"/>
      <c r="C74" s="370" t="str">
        <f>IFERROR(IF(ISTEXT(B73),"Nákupo HW a krabicový SW",""),)</f>
        <v/>
      </c>
      <c r="D74" s="367"/>
      <c r="E74" s="367"/>
      <c r="F74" s="367"/>
      <c r="G74" s="551"/>
      <c r="H74" s="370">
        <f t="shared" si="9"/>
        <v>-1</v>
      </c>
      <c r="I74" s="551"/>
      <c r="J74" s="370">
        <f t="shared" si="19"/>
        <v>-1</v>
      </c>
    </row>
    <row r="75" spans="1:10">
      <c r="A75" s="819"/>
      <c r="B75" s="820"/>
      <c r="C75" s="370" t="str">
        <f>IFERROR(IF(ISTEXT(B73),"Implementácia",""),)</f>
        <v/>
      </c>
      <c r="D75" s="367"/>
      <c r="E75" s="367"/>
      <c r="F75" s="367"/>
      <c r="G75" s="551"/>
      <c r="H75" s="370">
        <f t="shared" si="9"/>
        <v>-1</v>
      </c>
      <c r="I75" s="551"/>
      <c r="J75" s="370">
        <f t="shared" si="19"/>
        <v>-1</v>
      </c>
    </row>
    <row r="76" spans="1:10">
      <c r="A76" s="819"/>
      <c r="B76" s="820"/>
      <c r="C76" s="370" t="str">
        <f>IFERROR(IF(ISTEXT(B73),"Testovanie",""),)</f>
        <v/>
      </c>
      <c r="D76" s="367"/>
      <c r="E76" s="367"/>
      <c r="F76" s="367"/>
      <c r="G76" s="551"/>
      <c r="H76" s="370">
        <f t="shared" si="9"/>
        <v>-1</v>
      </c>
      <c r="I76" s="551"/>
      <c r="J76" s="370">
        <f t="shared" si="19"/>
        <v>-1</v>
      </c>
    </row>
    <row r="77" spans="1:10">
      <c r="A77" s="819"/>
      <c r="B77" s="820"/>
      <c r="C77" s="370" t="str">
        <f>IFERROR(IF(ISTEXT(B73),"Nasadenie",""),)</f>
        <v/>
      </c>
      <c r="D77" s="367"/>
      <c r="E77" s="367"/>
      <c r="F77" s="367"/>
      <c r="G77" s="551"/>
      <c r="H77" s="370">
        <f t="shared" si="9"/>
        <v>-1</v>
      </c>
      <c r="I77" s="370">
        <f>J77-H77</f>
        <v>1</v>
      </c>
      <c r="J77" s="370">
        <f>IFERROR(ROUND((F73-$E$3+1)/30,0),)</f>
        <v>0</v>
      </c>
    </row>
    <row r="78" spans="1:10">
      <c r="A78" s="819">
        <v>16</v>
      </c>
      <c r="B78" s="820"/>
      <c r="C78" s="370" t="str">
        <f>IFERROR(IF(ISTEXT(B78),"Analýza a dizajn",""),)</f>
        <v/>
      </c>
      <c r="D78" s="370" t="str">
        <f>IFERROR(VLOOKUP(B78,MODULY_CBA!$B$3:$I$23,6,0),"")</f>
        <v/>
      </c>
      <c r="E78" s="371" t="str">
        <f>IFERROR(VLOOKUP(D78,INKREMENTY!$A$2:$F$21,2,0),"")</f>
        <v/>
      </c>
      <c r="F78" s="371" t="str">
        <f>IFERROR(VLOOKUP(D78,INKREMENTY!$A$2:$F$21,4,0),"")</f>
        <v/>
      </c>
      <c r="G78" s="370">
        <f>IFERROR(ROUND(((E78-$E$3)+1)/30,0)+1,)</f>
        <v>0</v>
      </c>
      <c r="H78" s="370">
        <f t="shared" si="9"/>
        <v>-1</v>
      </c>
      <c r="I78" s="551"/>
      <c r="J78" s="370">
        <f t="shared" ref="J78:J81" si="20">H78+I78</f>
        <v>-1</v>
      </c>
    </row>
    <row r="79" spans="1:10">
      <c r="A79" s="819"/>
      <c r="B79" s="820"/>
      <c r="C79" s="370" t="str">
        <f>IFERROR(IF(ISTEXT(B78),"Nákupo HW a krabicový SW",""),)</f>
        <v/>
      </c>
      <c r="D79" s="367"/>
      <c r="E79" s="367"/>
      <c r="F79" s="367"/>
      <c r="G79" s="551"/>
      <c r="H79" s="370">
        <f t="shared" si="9"/>
        <v>-1</v>
      </c>
      <c r="I79" s="551"/>
      <c r="J79" s="370">
        <f t="shared" si="20"/>
        <v>-1</v>
      </c>
    </row>
    <row r="80" spans="1:10">
      <c r="A80" s="819"/>
      <c r="B80" s="820"/>
      <c r="C80" s="370" t="str">
        <f>IFERROR(IF(ISTEXT(B78),"Implementácia",""),)</f>
        <v/>
      </c>
      <c r="D80" s="367"/>
      <c r="E80" s="367"/>
      <c r="F80" s="367"/>
      <c r="G80" s="551"/>
      <c r="H80" s="370">
        <f t="shared" si="9"/>
        <v>-1</v>
      </c>
      <c r="I80" s="551"/>
      <c r="J80" s="370">
        <f t="shared" si="20"/>
        <v>-1</v>
      </c>
    </row>
    <row r="81" spans="1:10">
      <c r="A81" s="819"/>
      <c r="B81" s="820"/>
      <c r="C81" s="370" t="str">
        <f>IFERROR(IF(ISTEXT(B78),"Testovanie",""),)</f>
        <v/>
      </c>
      <c r="D81" s="367"/>
      <c r="E81" s="367"/>
      <c r="F81" s="367"/>
      <c r="G81" s="551"/>
      <c r="H81" s="370">
        <f t="shared" si="9"/>
        <v>-1</v>
      </c>
      <c r="I81" s="551"/>
      <c r="J81" s="370">
        <f t="shared" si="20"/>
        <v>-1</v>
      </c>
    </row>
    <row r="82" spans="1:10">
      <c r="A82" s="819"/>
      <c r="B82" s="820"/>
      <c r="C82" s="370" t="str">
        <f>IFERROR(IF(ISTEXT(B78),"Nasadenie",""),)</f>
        <v/>
      </c>
      <c r="D82" s="367"/>
      <c r="E82" s="367"/>
      <c r="F82" s="367"/>
      <c r="G82" s="551"/>
      <c r="H82" s="370">
        <f t="shared" si="9"/>
        <v>-1</v>
      </c>
      <c r="I82" s="370">
        <f>J82-H82</f>
        <v>1</v>
      </c>
      <c r="J82" s="370">
        <f>IFERROR(ROUND((F78-$E$3+1)/30,0),)</f>
        <v>0</v>
      </c>
    </row>
    <row r="83" spans="1:10">
      <c r="A83" s="819">
        <v>17</v>
      </c>
      <c r="B83" s="820"/>
      <c r="C83" s="370" t="str">
        <f>IFERROR(IF(ISTEXT(B83),"Analýza a dizajn",""),)</f>
        <v/>
      </c>
      <c r="D83" s="370" t="str">
        <f>IFERROR(VLOOKUP(B83,MODULY_CBA!$B$3:$I$23,6,0),"")</f>
        <v/>
      </c>
      <c r="E83" s="371" t="str">
        <f>IFERROR(VLOOKUP(D83,INKREMENTY!$A$2:$F$21,2,0),"")</f>
        <v/>
      </c>
      <c r="F83" s="371" t="str">
        <f>IFERROR(VLOOKUP(D83,INKREMENTY!$A$2:$F$21,4,0),"")</f>
        <v/>
      </c>
      <c r="G83" s="370">
        <f>IFERROR(ROUND(((E83-$E$3)+1)/30,0)+1,)</f>
        <v>0</v>
      </c>
      <c r="H83" s="370">
        <f t="shared" si="9"/>
        <v>-1</v>
      </c>
      <c r="I83" s="551"/>
      <c r="J83" s="370">
        <f t="shared" ref="J83:J86" si="21">H83+I83</f>
        <v>-1</v>
      </c>
    </row>
    <row r="84" spans="1:10">
      <c r="A84" s="819"/>
      <c r="B84" s="820"/>
      <c r="C84" s="370" t="str">
        <f>IFERROR(IF(ISTEXT(B83),"Nákupo HW a krabicový SW",""),)</f>
        <v/>
      </c>
      <c r="D84" s="367"/>
      <c r="E84" s="367"/>
      <c r="F84" s="367"/>
      <c r="G84" s="551"/>
      <c r="H84" s="370">
        <f t="shared" si="9"/>
        <v>-1</v>
      </c>
      <c r="I84" s="551"/>
      <c r="J84" s="370">
        <f t="shared" si="21"/>
        <v>-1</v>
      </c>
    </row>
    <row r="85" spans="1:10">
      <c r="A85" s="819"/>
      <c r="B85" s="820"/>
      <c r="C85" s="370" t="str">
        <f>IFERROR(IF(ISTEXT(B83),"Implementácia",""),)</f>
        <v/>
      </c>
      <c r="D85" s="367"/>
      <c r="E85" s="367"/>
      <c r="F85" s="367"/>
      <c r="G85" s="551"/>
      <c r="H85" s="370">
        <f t="shared" si="9"/>
        <v>-1</v>
      </c>
      <c r="I85" s="551"/>
      <c r="J85" s="370">
        <f t="shared" si="21"/>
        <v>-1</v>
      </c>
    </row>
    <row r="86" spans="1:10">
      <c r="A86" s="819"/>
      <c r="B86" s="820"/>
      <c r="C86" s="370" t="str">
        <f>IFERROR(IF(ISTEXT(B83),"Testovanie",""),)</f>
        <v/>
      </c>
      <c r="D86" s="367"/>
      <c r="E86" s="367"/>
      <c r="F86" s="367"/>
      <c r="G86" s="551"/>
      <c r="H86" s="370">
        <f t="shared" si="9"/>
        <v>-1</v>
      </c>
      <c r="I86" s="551"/>
      <c r="J86" s="370">
        <f t="shared" si="21"/>
        <v>-1</v>
      </c>
    </row>
    <row r="87" spans="1:10">
      <c r="A87" s="819"/>
      <c r="B87" s="820"/>
      <c r="C87" s="370" t="str">
        <f>IFERROR(IF(ISTEXT(B83),"Nasadenie",""),)</f>
        <v/>
      </c>
      <c r="D87" s="367"/>
      <c r="E87" s="367"/>
      <c r="F87" s="367"/>
      <c r="G87" s="551"/>
      <c r="H87" s="370">
        <f t="shared" si="9"/>
        <v>-1</v>
      </c>
      <c r="I87" s="370">
        <f>J87-H87</f>
        <v>1</v>
      </c>
      <c r="J87" s="370">
        <f>IFERROR(ROUND((F83-$E$3+1)/30,0),)</f>
        <v>0</v>
      </c>
    </row>
    <row r="88" spans="1:10">
      <c r="A88" s="819">
        <v>18</v>
      </c>
      <c r="B88" s="820"/>
      <c r="C88" s="370" t="str">
        <f>IFERROR(IF(ISTEXT(B88),"Analýza a dizajn",""),)</f>
        <v/>
      </c>
      <c r="D88" s="370" t="str">
        <f>IFERROR(VLOOKUP(B88,MODULY_CBA!$B$3:$I$23,6,0),"")</f>
        <v/>
      </c>
      <c r="E88" s="371" t="str">
        <f>IFERROR(VLOOKUP(D88,INKREMENTY!$A$2:$F$21,2,0),"")</f>
        <v/>
      </c>
      <c r="F88" s="371" t="str">
        <f>IFERROR(VLOOKUP(D88,INKREMENTY!$A$2:$F$21,4,0),"")</f>
        <v/>
      </c>
      <c r="G88" s="370">
        <f>IFERROR(ROUND(((E88-$E$3)+1)/30,0)+1,)</f>
        <v>0</v>
      </c>
      <c r="H88" s="370">
        <f t="shared" si="9"/>
        <v>-1</v>
      </c>
      <c r="I88" s="551"/>
      <c r="J88" s="370">
        <f t="shared" ref="J88:J91" si="22">H88+I88</f>
        <v>-1</v>
      </c>
    </row>
    <row r="89" spans="1:10">
      <c r="A89" s="819"/>
      <c r="B89" s="820"/>
      <c r="C89" s="370" t="str">
        <f>IFERROR(IF(ISTEXT(B88),"Nákupo HW a krabicový SW",""),)</f>
        <v/>
      </c>
      <c r="D89" s="367"/>
      <c r="E89" s="367"/>
      <c r="F89" s="367"/>
      <c r="G89" s="551"/>
      <c r="H89" s="370">
        <f t="shared" si="9"/>
        <v>-1</v>
      </c>
      <c r="I89" s="551"/>
      <c r="J89" s="370">
        <f t="shared" si="22"/>
        <v>-1</v>
      </c>
    </row>
    <row r="90" spans="1:10">
      <c r="A90" s="819"/>
      <c r="B90" s="820"/>
      <c r="C90" s="370" t="str">
        <f>IFERROR(IF(ISTEXT(B88),"Implementácia",""),)</f>
        <v/>
      </c>
      <c r="D90" s="367"/>
      <c r="E90" s="367"/>
      <c r="F90" s="367"/>
      <c r="G90" s="551"/>
      <c r="H90" s="370">
        <f t="shared" si="9"/>
        <v>-1</v>
      </c>
      <c r="I90" s="551"/>
      <c r="J90" s="370">
        <f t="shared" si="22"/>
        <v>-1</v>
      </c>
    </row>
    <row r="91" spans="1:10">
      <c r="A91" s="819"/>
      <c r="B91" s="820"/>
      <c r="C91" s="370" t="str">
        <f>IFERROR(IF(ISTEXT(B88),"Testovanie",""),)</f>
        <v/>
      </c>
      <c r="D91" s="367"/>
      <c r="E91" s="367"/>
      <c r="F91" s="367"/>
      <c r="G91" s="551"/>
      <c r="H91" s="370">
        <f t="shared" si="9"/>
        <v>-1</v>
      </c>
      <c r="I91" s="551"/>
      <c r="J91" s="370">
        <f t="shared" si="22"/>
        <v>-1</v>
      </c>
    </row>
    <row r="92" spans="1:10">
      <c r="A92" s="819"/>
      <c r="B92" s="820"/>
      <c r="C92" s="370" t="str">
        <f>IFERROR(IF(ISTEXT(B88),"Nasadenie",""),)</f>
        <v/>
      </c>
      <c r="D92" s="367"/>
      <c r="E92" s="367"/>
      <c r="F92" s="367"/>
      <c r="G92" s="551"/>
      <c r="H92" s="370">
        <f t="shared" ref="H92:H107" si="23">G92-1</f>
        <v>-1</v>
      </c>
      <c r="I92" s="370">
        <f>J92-H92</f>
        <v>1</v>
      </c>
      <c r="J92" s="370">
        <f>IFERROR(ROUND((F88-$E$3+1)/30,0),)</f>
        <v>0</v>
      </c>
    </row>
    <row r="93" spans="1:10">
      <c r="A93" s="819">
        <v>19</v>
      </c>
      <c r="B93" s="820"/>
      <c r="C93" s="370" t="str">
        <f>IFERROR(IF(ISTEXT(B93),"Analýza a dizajn",""),)</f>
        <v/>
      </c>
      <c r="D93" s="370" t="str">
        <f>IFERROR(VLOOKUP(B93,MODULY_CBA!$B$3:$I$23,6,0),"")</f>
        <v/>
      </c>
      <c r="E93" s="371" t="str">
        <f>IFERROR(VLOOKUP(D93,INKREMENTY!$A$2:$F$21,2,0),"")</f>
        <v/>
      </c>
      <c r="F93" s="371" t="str">
        <f>IFERROR(VLOOKUP(D93,INKREMENTY!$A$2:$F$21,4,0),"")</f>
        <v/>
      </c>
      <c r="G93" s="370">
        <f>IFERROR(ROUND(((E93-$E$3)+1)/30,0)+1,)</f>
        <v>0</v>
      </c>
      <c r="H93" s="370">
        <f t="shared" si="23"/>
        <v>-1</v>
      </c>
      <c r="I93" s="551"/>
      <c r="J93" s="370">
        <f t="shared" ref="J93:J96" si="24">H93+I93</f>
        <v>-1</v>
      </c>
    </row>
    <row r="94" spans="1:10">
      <c r="A94" s="819"/>
      <c r="B94" s="820"/>
      <c r="C94" s="370" t="str">
        <f>IFERROR(IF(ISTEXT(B93),"Nákupo HW a krabicový SW",""),)</f>
        <v/>
      </c>
      <c r="D94" s="367"/>
      <c r="E94" s="367"/>
      <c r="F94" s="367"/>
      <c r="G94" s="551"/>
      <c r="H94" s="370">
        <f t="shared" si="23"/>
        <v>-1</v>
      </c>
      <c r="I94" s="551"/>
      <c r="J94" s="370">
        <f t="shared" si="24"/>
        <v>-1</v>
      </c>
    </row>
    <row r="95" spans="1:10">
      <c r="A95" s="819"/>
      <c r="B95" s="820"/>
      <c r="C95" s="370" t="str">
        <f>IFERROR(IF(ISTEXT(B93),"Implementácia",""),)</f>
        <v/>
      </c>
      <c r="D95" s="367"/>
      <c r="E95" s="367"/>
      <c r="F95" s="367"/>
      <c r="G95" s="551"/>
      <c r="H95" s="370">
        <f t="shared" si="23"/>
        <v>-1</v>
      </c>
      <c r="I95" s="551"/>
      <c r="J95" s="370">
        <f t="shared" si="24"/>
        <v>-1</v>
      </c>
    </row>
    <row r="96" spans="1:10">
      <c r="A96" s="819"/>
      <c r="B96" s="820"/>
      <c r="C96" s="370" t="str">
        <f>IFERROR(IF(ISTEXT(B93),"Testovanie",""),)</f>
        <v/>
      </c>
      <c r="D96" s="367"/>
      <c r="E96" s="367"/>
      <c r="F96" s="367"/>
      <c r="G96" s="551"/>
      <c r="H96" s="370">
        <f t="shared" si="23"/>
        <v>-1</v>
      </c>
      <c r="I96" s="551"/>
      <c r="J96" s="370">
        <f t="shared" si="24"/>
        <v>-1</v>
      </c>
    </row>
    <row r="97" spans="1:10">
      <c r="A97" s="819"/>
      <c r="B97" s="820"/>
      <c r="C97" s="370" t="str">
        <f>IFERROR(IF(ISTEXT(B93),"Nasadenie",""),)</f>
        <v/>
      </c>
      <c r="D97" s="367"/>
      <c r="E97" s="367"/>
      <c r="F97" s="367"/>
      <c r="G97" s="551"/>
      <c r="H97" s="370">
        <f t="shared" si="23"/>
        <v>-1</v>
      </c>
      <c r="I97" s="370">
        <f>J97-H97</f>
        <v>1</v>
      </c>
      <c r="J97" s="370">
        <f>IFERROR(ROUND((F93-$E$3+1)/30,0),)</f>
        <v>0</v>
      </c>
    </row>
    <row r="98" spans="1:10">
      <c r="A98" s="819">
        <v>20</v>
      </c>
      <c r="B98" s="820"/>
      <c r="C98" s="370" t="str">
        <f>IFERROR(IF(ISTEXT(B98),"Analýza a dizajn",""),)</f>
        <v/>
      </c>
      <c r="D98" s="370" t="str">
        <f>IFERROR(VLOOKUP(B98,MODULY_CBA!$B$3:$I$23,6,0),"")</f>
        <v/>
      </c>
      <c r="E98" s="371" t="str">
        <f>IFERROR(VLOOKUP(D98,INKREMENTY!$A$2:$F$21,2,0),"")</f>
        <v/>
      </c>
      <c r="F98" s="371" t="str">
        <f>IFERROR(VLOOKUP(D98,INKREMENTY!$A$2:$F$21,4,0),"")</f>
        <v/>
      </c>
      <c r="G98" s="370">
        <f>IFERROR(ROUND(((E98-$E$3)+1)/30,0)+1,)</f>
        <v>0</v>
      </c>
      <c r="H98" s="370">
        <f t="shared" si="23"/>
        <v>-1</v>
      </c>
      <c r="I98" s="551"/>
      <c r="J98" s="370">
        <f t="shared" ref="J98:J101" si="25">H98+I98</f>
        <v>-1</v>
      </c>
    </row>
    <row r="99" spans="1:10">
      <c r="A99" s="819"/>
      <c r="B99" s="820"/>
      <c r="C99" s="370" t="str">
        <f>IFERROR(IF(ISTEXT(B98),"Nákupo HW a krabicový SW",""),)</f>
        <v/>
      </c>
      <c r="D99" s="367"/>
      <c r="E99" s="367"/>
      <c r="F99" s="367"/>
      <c r="G99" s="551"/>
      <c r="H99" s="370">
        <f t="shared" si="23"/>
        <v>-1</v>
      </c>
      <c r="I99" s="551"/>
      <c r="J99" s="370">
        <f t="shared" si="25"/>
        <v>-1</v>
      </c>
    </row>
    <row r="100" spans="1:10">
      <c r="A100" s="819"/>
      <c r="B100" s="820"/>
      <c r="C100" s="370" t="str">
        <f>IFERROR(IF(ISTEXT(B98),"Implementácia",""),)</f>
        <v/>
      </c>
      <c r="D100" s="367"/>
      <c r="E100" s="367"/>
      <c r="F100" s="367"/>
      <c r="G100" s="551"/>
      <c r="H100" s="370">
        <f t="shared" si="23"/>
        <v>-1</v>
      </c>
      <c r="I100" s="551"/>
      <c r="J100" s="370">
        <f t="shared" si="25"/>
        <v>-1</v>
      </c>
    </row>
    <row r="101" spans="1:10">
      <c r="A101" s="819"/>
      <c r="B101" s="820"/>
      <c r="C101" s="370" t="str">
        <f>IFERROR(IF(ISTEXT(B98),"Testovanie",""),)</f>
        <v/>
      </c>
      <c r="D101" s="367"/>
      <c r="E101" s="367"/>
      <c r="F101" s="367"/>
      <c r="G101" s="551"/>
      <c r="H101" s="370">
        <f t="shared" si="23"/>
        <v>-1</v>
      </c>
      <c r="I101" s="551"/>
      <c r="J101" s="370">
        <f t="shared" si="25"/>
        <v>-1</v>
      </c>
    </row>
    <row r="102" spans="1:10">
      <c r="A102" s="819"/>
      <c r="B102" s="820"/>
      <c r="C102" s="370" t="str">
        <f>IFERROR(IF(ISTEXT(B98),"Nasadenie",""),)</f>
        <v/>
      </c>
      <c r="D102" s="367"/>
      <c r="E102" s="367"/>
      <c r="F102" s="367"/>
      <c r="G102" s="551"/>
      <c r="H102" s="370">
        <f t="shared" si="23"/>
        <v>-1</v>
      </c>
      <c r="I102" s="370">
        <f>J102-H102</f>
        <v>1</v>
      </c>
      <c r="J102" s="370">
        <f>IFERROR(ROUND((F98-$E$3+1)/30,0),)</f>
        <v>0</v>
      </c>
    </row>
    <row r="103" spans="1:10">
      <c r="A103" s="819">
        <v>21</v>
      </c>
      <c r="B103" s="820"/>
      <c r="C103" s="370" t="str">
        <f>IFERROR(IF(ISTEXT(B103),"Analýza a dizajn",""),)</f>
        <v/>
      </c>
      <c r="D103" s="370" t="str">
        <f>IFERROR(VLOOKUP(B103,MODULY_CBA!$B$3:$I$23,6,0),"")</f>
        <v/>
      </c>
      <c r="E103" s="371" t="str">
        <f>IFERROR(VLOOKUP(D103,INKREMENTY!$A$2:$F$21,2,0),"")</f>
        <v/>
      </c>
      <c r="F103" s="371" t="str">
        <f>IFERROR(VLOOKUP(D103,INKREMENTY!$A$2:$F$21,4,0),"")</f>
        <v/>
      </c>
      <c r="G103" s="370">
        <f>IFERROR(ROUND(((E103-$E$3)+1)/30,0)+1,)</f>
        <v>0</v>
      </c>
      <c r="H103" s="370">
        <f t="shared" si="23"/>
        <v>-1</v>
      </c>
      <c r="I103" s="551"/>
      <c r="J103" s="370">
        <f t="shared" ref="J103:J106" si="26">H103+I103</f>
        <v>-1</v>
      </c>
    </row>
    <row r="104" spans="1:10">
      <c r="A104" s="819"/>
      <c r="B104" s="820"/>
      <c r="C104" s="370" t="str">
        <f>IFERROR(IF(ISTEXT(B103),"Nákupo HW a krabicový SW",""),)</f>
        <v/>
      </c>
      <c r="D104" s="367"/>
      <c r="E104" s="367"/>
      <c r="F104" s="367"/>
      <c r="G104" s="551"/>
      <c r="H104" s="370">
        <f t="shared" si="23"/>
        <v>-1</v>
      </c>
      <c r="I104" s="551"/>
      <c r="J104" s="370">
        <f t="shared" si="26"/>
        <v>-1</v>
      </c>
    </row>
    <row r="105" spans="1:10">
      <c r="A105" s="819"/>
      <c r="B105" s="820"/>
      <c r="C105" s="370" t="str">
        <f>IFERROR(IF(ISTEXT(B103),"Implementácia",""),)</f>
        <v/>
      </c>
      <c r="D105" s="367"/>
      <c r="E105" s="367"/>
      <c r="F105" s="367"/>
      <c r="G105" s="551"/>
      <c r="H105" s="370">
        <f t="shared" si="23"/>
        <v>-1</v>
      </c>
      <c r="I105" s="551"/>
      <c r="J105" s="370">
        <f t="shared" si="26"/>
        <v>-1</v>
      </c>
    </row>
    <row r="106" spans="1:10">
      <c r="A106" s="819"/>
      <c r="B106" s="820"/>
      <c r="C106" s="370" t="str">
        <f>IFERROR(IF(ISTEXT(B103),"Testovanie",""),)</f>
        <v/>
      </c>
      <c r="D106" s="367"/>
      <c r="E106" s="367"/>
      <c r="F106" s="367"/>
      <c r="G106" s="551"/>
      <c r="H106" s="370">
        <f t="shared" si="23"/>
        <v>-1</v>
      </c>
      <c r="I106" s="551"/>
      <c r="J106" s="370">
        <f t="shared" si="26"/>
        <v>-1</v>
      </c>
    </row>
    <row r="107" spans="1:10">
      <c r="A107" s="819"/>
      <c r="B107" s="820"/>
      <c r="C107" s="370" t="str">
        <f>IFERROR(IF(ISTEXT(B103),"Nasadenie",""),)</f>
        <v/>
      </c>
      <c r="D107" s="367"/>
      <c r="E107" s="367"/>
      <c r="F107" s="367"/>
      <c r="G107" s="551"/>
      <c r="H107" s="370">
        <f t="shared" si="23"/>
        <v>-1</v>
      </c>
      <c r="I107" s="370">
        <f>J107-H107</f>
        <v>1</v>
      </c>
      <c r="J107" s="370">
        <f>IFERROR(ROUND((F103-$E$3+1)/30,0),)</f>
        <v>0</v>
      </c>
    </row>
  </sheetData>
  <mergeCells count="43">
    <mergeCell ref="G1:J1"/>
    <mergeCell ref="B28:B32"/>
    <mergeCell ref="B3:B7"/>
    <mergeCell ref="B8:B12"/>
    <mergeCell ref="B13:B17"/>
    <mergeCell ref="B18:B22"/>
    <mergeCell ref="B23:B27"/>
    <mergeCell ref="B33:B37"/>
    <mergeCell ref="B38:B42"/>
    <mergeCell ref="B43:B47"/>
    <mergeCell ref="B48:B52"/>
    <mergeCell ref="B53:B57"/>
    <mergeCell ref="B88:B92"/>
    <mergeCell ref="B93:B97"/>
    <mergeCell ref="B98:B102"/>
    <mergeCell ref="B103:B107"/>
    <mergeCell ref="B58:B62"/>
    <mergeCell ref="B63:B67"/>
    <mergeCell ref="B68:B72"/>
    <mergeCell ref="B73:B77"/>
    <mergeCell ref="B78:B82"/>
    <mergeCell ref="A53:A57"/>
    <mergeCell ref="A58:A62"/>
    <mergeCell ref="A63:A67"/>
    <mergeCell ref="A68:A72"/>
    <mergeCell ref="B83:B87"/>
    <mergeCell ref="A28:A32"/>
    <mergeCell ref="A33:A37"/>
    <mergeCell ref="A38:A42"/>
    <mergeCell ref="A43:A47"/>
    <mergeCell ref="A48:A52"/>
    <mergeCell ref="A3:A7"/>
    <mergeCell ref="A8:A12"/>
    <mergeCell ref="A13:A17"/>
    <mergeCell ref="A18:A22"/>
    <mergeCell ref="A23:A27"/>
    <mergeCell ref="A98:A102"/>
    <mergeCell ref="A103:A107"/>
    <mergeCell ref="A73:A77"/>
    <mergeCell ref="A78:A82"/>
    <mergeCell ref="A83:A87"/>
    <mergeCell ref="A88:A92"/>
    <mergeCell ref="A93:A97"/>
  </mergeCells>
  <conditionalFormatting sqref="C3:C32">
    <cfRule type="expression" dxfId="2" priority="1">
      <formula>ISTEXT($B$28)</formula>
    </cfRule>
  </conditionalFormatting>
  <dataValidations count="1">
    <dataValidation type="list" allowBlank="1" showInputMessage="1" showErrorMessage="1" sqref="B3:B107" xr:uid="{00000000-0002-0000-1400-000000000000}">
      <formula1>MODULY</formula1>
    </dataValidation>
  </dataValidations>
  <pageMargins left="0.7" right="0.7" top="0.75" bottom="0.75" header="0.3" footer="0.3"/>
  <pageSetup orientation="portrait" r:id="rId1"/>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árok9">
    <tabColor theme="0" tint="-0.34998626667073579"/>
    <outlinePr summaryBelow="0" summaryRight="0"/>
  </sheetPr>
  <dimension ref="A1:M44"/>
  <sheetViews>
    <sheetView view="pageBreakPreview" zoomScaleNormal="85" zoomScaleSheetLayoutView="100" workbookViewId="0">
      <selection activeCell="B16" sqref="B16"/>
    </sheetView>
  </sheetViews>
  <sheetFormatPr defaultColWidth="8.7109375" defaultRowHeight="15" outlineLevelCol="1"/>
  <cols>
    <col min="2" max="2" width="54.140625" customWidth="1"/>
    <col min="3" max="3" width="18.7109375" customWidth="1"/>
    <col min="4" max="4" width="17.7109375" bestFit="1" customWidth="1" outlineLevel="1"/>
    <col min="5" max="5" width="23.42578125" bestFit="1" customWidth="1" outlineLevel="1"/>
    <col min="6" max="13" width="16" customWidth="1" outlineLevel="1"/>
  </cols>
  <sheetData>
    <row r="1" spans="1:13" ht="21">
      <c r="A1" s="94" t="s">
        <v>97</v>
      </c>
      <c r="B1" s="95"/>
      <c r="E1" s="84"/>
      <c r="F1" s="84"/>
      <c r="G1" s="84"/>
      <c r="H1" s="84"/>
      <c r="I1" s="84"/>
      <c r="J1" s="84"/>
      <c r="K1" s="84"/>
      <c r="L1" s="84"/>
      <c r="M1" s="80"/>
    </row>
    <row r="2" spans="1:13" ht="15.75">
      <c r="A2" s="96"/>
      <c r="B2" s="82"/>
      <c r="D2" s="82"/>
      <c r="E2" s="82"/>
      <c r="F2" s="82"/>
      <c r="G2" s="82"/>
      <c r="H2" s="82"/>
      <c r="I2" s="82"/>
      <c r="J2" s="82"/>
      <c r="K2" s="82"/>
      <c r="L2" s="82"/>
      <c r="M2" s="76"/>
    </row>
    <row r="3" spans="1:13" ht="15.75">
      <c r="A3" s="160" t="s">
        <v>150</v>
      </c>
      <c r="B3" s="82"/>
      <c r="C3" s="364">
        <f>SUM(D15:F15)</f>
        <v>16249742.703500001</v>
      </c>
      <c r="D3" s="364">
        <f>POZICIE_INTERNE!I2</f>
        <v>474178.50349999993</v>
      </c>
      <c r="E3" s="364">
        <f>AKTIVITY_POZICIE!O1</f>
        <v>502395</v>
      </c>
      <c r="F3" s="676">
        <f>C3-D3-E3</f>
        <v>15273169.200000001</v>
      </c>
      <c r="G3" s="675"/>
      <c r="H3" s="76"/>
      <c r="I3" s="76"/>
      <c r="J3" s="76"/>
      <c r="K3" s="76"/>
      <c r="L3" s="76"/>
      <c r="M3" s="76"/>
    </row>
    <row r="4" spans="1:13">
      <c r="D4" s="77"/>
      <c r="E4" s="77"/>
      <c r="F4" s="77"/>
      <c r="G4" s="77"/>
      <c r="H4" s="77"/>
      <c r="I4" s="77"/>
      <c r="J4" s="77"/>
      <c r="K4" s="77"/>
      <c r="L4" s="77"/>
      <c r="M4" s="77"/>
    </row>
    <row r="5" spans="1:13" ht="15.75" thickBot="1">
      <c r="B5" s="77"/>
      <c r="C5" s="81"/>
      <c r="D5" s="822" t="s">
        <v>98</v>
      </c>
      <c r="E5" s="822"/>
      <c r="F5" s="822"/>
      <c r="G5" s="822"/>
      <c r="H5" s="822"/>
      <c r="I5" s="822"/>
      <c r="J5" s="822"/>
      <c r="K5" s="822"/>
      <c r="L5" s="822"/>
      <c r="M5" s="822"/>
    </row>
    <row r="6" spans="1:13">
      <c r="A6" s="130"/>
      <c r="B6" s="155" t="s">
        <v>125</v>
      </c>
      <c r="C6" s="88" t="s">
        <v>102</v>
      </c>
      <c r="D6" s="100" t="s">
        <v>25</v>
      </c>
      <c r="E6" s="101" t="s">
        <v>26</v>
      </c>
      <c r="F6" s="101" t="s">
        <v>27</v>
      </c>
      <c r="G6" s="101" t="s">
        <v>28</v>
      </c>
      <c r="H6" s="101" t="s">
        <v>29</v>
      </c>
      <c r="I6" s="101" t="s">
        <v>30</v>
      </c>
      <c r="J6" s="101" t="s">
        <v>31</v>
      </c>
      <c r="K6" s="101" t="s">
        <v>32</v>
      </c>
      <c r="L6" s="101" t="s">
        <v>33</v>
      </c>
      <c r="M6" s="102" t="s">
        <v>34</v>
      </c>
    </row>
    <row r="7" spans="1:13">
      <c r="A7" s="158"/>
      <c r="B7" s="156" t="s">
        <v>105</v>
      </c>
      <c r="C7" s="89">
        <f t="shared" ref="C7:C14" si="0">SUM(D7:M7)</f>
        <v>4164919.1999999997</v>
      </c>
      <c r="D7" s="103">
        <f>'TCO TO BE- SW'!$E6+'TCO TO BE- SW'!$E26+'TCO TO BE- SW'!$E16</f>
        <v>948306.4</v>
      </c>
      <c r="E7" s="86">
        <f>'TCO TO BE- SW'!$E7+'TCO TO BE- SW'!$E27+'TCO TO BE- SW'!$E17</f>
        <v>1605306.4</v>
      </c>
      <c r="F7" s="86">
        <f>'TCO TO BE- SW'!$E8+'TCO TO BE- SW'!$E28+'TCO TO BE- SW'!$E18</f>
        <v>1611306.4</v>
      </c>
      <c r="G7" s="86">
        <f>'TCO TO BE- SW'!$E9+'TCO TO BE- SW'!$E29+'TCO TO BE- SW'!$E19</f>
        <v>0</v>
      </c>
      <c r="H7" s="86">
        <f>'TCO TO BE- SW'!$E10+'TCO TO BE- SW'!$E30+'TCO TO BE- SW'!$E20</f>
        <v>0</v>
      </c>
      <c r="I7" s="86">
        <f>'TCO TO BE- SW'!$E11+'TCO TO BE- SW'!$E31+'TCO TO BE- SW'!$E21</f>
        <v>0</v>
      </c>
      <c r="J7" s="86">
        <f>'TCO TO BE- SW'!$E12+'TCO TO BE- SW'!$E32+'TCO TO BE- SW'!$E22</f>
        <v>0</v>
      </c>
      <c r="K7" s="86">
        <f>'TCO TO BE- SW'!$E13+'TCO TO BE- SW'!$E33+'TCO TO BE- SW'!$E23</f>
        <v>0</v>
      </c>
      <c r="L7" s="86">
        <f>'TCO TO BE- SW'!$E14+'TCO TO BE- SW'!$E34+'TCO TO BE- SW'!$E24</f>
        <v>0</v>
      </c>
      <c r="M7" s="104">
        <f>'TCO TO BE- SW'!$E15+'TCO TO BE- SW'!$E35+'TCO TO BE- SW'!$E25</f>
        <v>0</v>
      </c>
    </row>
    <row r="8" spans="1:13">
      <c r="A8" s="158"/>
      <c r="B8" s="156" t="s">
        <v>106</v>
      </c>
      <c r="C8" s="89">
        <f t="shared" si="0"/>
        <v>11279144.800000001</v>
      </c>
      <c r="D8" s="103">
        <f>'TCO TO BE- SW'!$E79+'TCO TO BE- SW'!$E89</f>
        <v>0</v>
      </c>
      <c r="E8" s="86">
        <f>'TCO TO BE- SW'!$E80+'TCO TO BE- SW'!$E90</f>
        <v>0</v>
      </c>
      <c r="F8" s="86">
        <f>'TCO TO BE- SW'!$E81+'TCO TO BE- SW'!$E91</f>
        <v>0</v>
      </c>
      <c r="G8" s="86">
        <f>'TCO TO BE- SW'!$E82+'TCO TO BE- SW'!$E92</f>
        <v>1611306.4</v>
      </c>
      <c r="H8" s="86">
        <f>'TCO TO BE- SW'!$E83+'TCO TO BE- SW'!$E93</f>
        <v>1611306.4</v>
      </c>
      <c r="I8" s="86">
        <f>'TCO TO BE- SW'!$E84+'TCO TO BE- SW'!$E94</f>
        <v>1611306.4</v>
      </c>
      <c r="J8" s="86">
        <f>'TCO TO BE- SW'!$E85+'TCO TO BE- SW'!$E95</f>
        <v>1611306.4</v>
      </c>
      <c r="K8" s="86">
        <f>'TCO TO BE- SW'!$E86+'TCO TO BE- SW'!$E96</f>
        <v>1611306.4</v>
      </c>
      <c r="L8" s="86">
        <f>'TCO TO BE- SW'!$E87+'TCO TO BE- SW'!$E97</f>
        <v>1611306.4</v>
      </c>
      <c r="M8" s="104">
        <f>'TCO TO BE- SW'!$E88+'TCO TO BE- SW'!$E98</f>
        <v>1611306.4</v>
      </c>
    </row>
    <row r="9" spans="1:13">
      <c r="A9" s="158"/>
      <c r="B9" s="156" t="s">
        <v>107</v>
      </c>
      <c r="C9" s="89">
        <f t="shared" si="0"/>
        <v>10924819.5035</v>
      </c>
      <c r="D9" s="103">
        <f>'TCO TO BE- SW'!$E37+'TCO TO BE- SW'!$E47+'TCO TO BE- SW'!$E67+'TCO TO BE- SW'!E57</f>
        <v>2351900</v>
      </c>
      <c r="E9" s="86">
        <f>'TCO TO BE- SW'!$E38+'TCO TO BE- SW'!$E48+'TCO TO BE- SW'!$E68+'TCO TO BE- SW'!E58</f>
        <v>3554675</v>
      </c>
      <c r="F9" s="86">
        <f>'TCO TO BE- SW'!$E39+'TCO TO BE- SW'!$E49+'TCO TO BE- SW'!$E69+'TCO TO BE- SW'!E59</f>
        <v>5018244.5034999996</v>
      </c>
      <c r="G9" s="86">
        <f>'TCO TO BE- SW'!$E40+'TCO TO BE- SW'!$E50+'TCO TO BE- SW'!$E70+'TCO TO BE- SW'!E60</f>
        <v>0</v>
      </c>
      <c r="H9" s="86">
        <f>'TCO TO BE- SW'!$E41+'TCO TO BE- SW'!$E51+'TCO TO BE- SW'!$E71+'TCO TO BE- SW'!E61</f>
        <v>0</v>
      </c>
      <c r="I9" s="86">
        <f>'TCO TO BE- SW'!$E42+'TCO TO BE- SW'!$E52+'TCO TO BE- SW'!$E72+'TCO TO BE- SW'!E62</f>
        <v>0</v>
      </c>
      <c r="J9" s="86">
        <f>'TCO TO BE- SW'!$E43+'TCO TO BE- SW'!$E53+'TCO TO BE- SW'!$E73+'TCO TO BE- SW'!E63</f>
        <v>0</v>
      </c>
      <c r="K9" s="86">
        <f>'TCO TO BE- SW'!$E44+'TCO TO BE- SW'!$E54+'TCO TO BE- SW'!$E74+'TCO TO BE- SW'!E64</f>
        <v>0</v>
      </c>
      <c r="L9" s="86">
        <f>'TCO TO BE- SW'!$E45+'TCO TO BE- SW'!$E55+'TCO TO BE- SW'!$E75+'TCO TO BE- SW'!E65</f>
        <v>0</v>
      </c>
      <c r="M9" s="104">
        <f>'TCO TO BE- SW'!$E46+'TCO TO BE- SW'!$E56+'TCO TO BE- SW'!$E76+'TCO TO BE- SW'!E66</f>
        <v>0</v>
      </c>
    </row>
    <row r="10" spans="1:13">
      <c r="A10" s="158"/>
      <c r="B10" s="156" t="s">
        <v>108</v>
      </c>
      <c r="C10" s="89">
        <f t="shared" si="0"/>
        <v>1889400</v>
      </c>
      <c r="D10" s="103">
        <f>'TCO TO BE- SW'!$E100+'TCO TO BE- SW'!$E110+'TCO TO BE- SW'!$E120+'TCO TO BE- SW'!$E130+'TCO TO BE- SW'!$E140</f>
        <v>93900</v>
      </c>
      <c r="E10" s="86">
        <f>'TCO TO BE- SW'!$E101+'TCO TO BE- SW'!$E111+'TCO TO BE- SW'!$E121+'TCO TO BE- SW'!$E131+'TCO TO BE- SW'!$E141</f>
        <v>199500</v>
      </c>
      <c r="F10" s="86">
        <f>'TCO TO BE- SW'!$E102+'TCO TO BE- SW'!$E112+'TCO TO BE- SW'!$E122+'TCO TO BE- SW'!$E132+'TCO TO BE- SW'!$E142</f>
        <v>199500</v>
      </c>
      <c r="G10" s="86">
        <f>'TCO TO BE- SW'!$E103+'TCO TO BE- SW'!$E113+'TCO TO BE- SW'!$E123+'TCO TO BE- SW'!$E133+'TCO TO BE- SW'!$E143</f>
        <v>199500</v>
      </c>
      <c r="H10" s="86">
        <f>'TCO TO BE- SW'!$E104+'TCO TO BE- SW'!$E114+'TCO TO BE- SW'!$E124+'TCO TO BE- SW'!$E134+'TCO TO BE- SW'!$E144</f>
        <v>199500</v>
      </c>
      <c r="I10" s="86">
        <f>'TCO TO BE- SW'!$E105+'TCO TO BE- SW'!$E115+'TCO TO BE- SW'!$E125+'TCO TO BE- SW'!$E135+'TCO TO BE- SW'!$E145</f>
        <v>199500</v>
      </c>
      <c r="J10" s="86">
        <f>'TCO TO BE- SW'!$E106+'TCO TO BE- SW'!$E116+'TCO TO BE- SW'!$E126+'TCO TO BE- SW'!$E136+'TCO TO BE- SW'!$E146</f>
        <v>199500</v>
      </c>
      <c r="K10" s="86">
        <f>'TCO TO BE- SW'!$E107+'TCO TO BE- SW'!$E117+'TCO TO BE- SW'!$E127+'TCO TO BE- SW'!$E137+'TCO TO BE- SW'!$E147</f>
        <v>199500</v>
      </c>
      <c r="L10" s="86">
        <f>'TCO TO BE- SW'!$E108+'TCO TO BE- SW'!$E118+'TCO TO BE- SW'!$E128+'TCO TO BE- SW'!$E138+'TCO TO BE- SW'!$E148</f>
        <v>199500</v>
      </c>
      <c r="M10" s="104">
        <f>'TCO TO BE- SW'!$E109+'TCO TO BE- SW'!$E119+'TCO TO BE- SW'!$E129+'TCO TO BE- SW'!$E139+'TCO TO BE- SW'!$E149</f>
        <v>199500</v>
      </c>
    </row>
    <row r="11" spans="1:13">
      <c r="A11" s="158"/>
      <c r="B11" s="156" t="s">
        <v>248</v>
      </c>
      <c r="C11" s="89">
        <f t="shared" si="0"/>
        <v>0</v>
      </c>
      <c r="D11" s="103">
        <f>'TCO TO BE- SW'!E172+'TCO TO BE- SW'!E182</f>
        <v>0</v>
      </c>
      <c r="E11" s="86">
        <f>'TCO TO BE- SW'!E173+'TCO TO BE- SW'!E183</f>
        <v>0</v>
      </c>
      <c r="F11" s="86">
        <f>'TCO TO BE- SW'!E174+'TCO TO BE- SW'!E184</f>
        <v>0</v>
      </c>
      <c r="G11" s="86">
        <f>'TCO TO BE- SW'!E175+'TCO TO BE- SW'!E185</f>
        <v>0</v>
      </c>
      <c r="H11" s="86">
        <f>'TCO TO BE- SW'!E176+'TCO TO BE- SW'!E186</f>
        <v>0</v>
      </c>
      <c r="I11" s="86">
        <f>'TCO TO BE- SW'!E177+'TCO TO BE- SW'!E187</f>
        <v>0</v>
      </c>
      <c r="J11" s="86">
        <f>'TCO TO BE- SW'!E178+'TCO TO BE- SW'!E188</f>
        <v>0</v>
      </c>
      <c r="K11" s="86">
        <f>'TCO TO BE- SW'!E179+'TCO TO BE- SW'!E189</f>
        <v>0</v>
      </c>
      <c r="L11" s="86">
        <f>'TCO TO BE- SW'!E180+'TCO TO BE- SW'!E190</f>
        <v>0</v>
      </c>
      <c r="M11" s="104">
        <f>'TCO TO BE- SW'!E181+'TCO TO BE- SW'!E191</f>
        <v>0</v>
      </c>
    </row>
    <row r="12" spans="1:13">
      <c r="A12" s="158"/>
      <c r="B12" s="156" t="s">
        <v>99</v>
      </c>
      <c r="C12" s="89">
        <f t="shared" si="0"/>
        <v>0</v>
      </c>
      <c r="D12" s="103">
        <f>'TCO TO BE - HW'!$E5+'TCO TO BE - HW'!$E15+'TCO TO BE - HW'!$E45+'TCO TO BE - HW'!$E25+'TCO TO BE - HW'!$E35</f>
        <v>0</v>
      </c>
      <c r="E12" s="86">
        <f>'TCO TO BE - HW'!$E6+'TCO TO BE - HW'!$E16+'TCO TO BE - HW'!$E46+'TCO TO BE - HW'!$E26+'TCO TO BE - HW'!$E36</f>
        <v>0</v>
      </c>
      <c r="F12" s="86">
        <f>'TCO TO BE - HW'!$E7+'TCO TO BE - HW'!$E17+'TCO TO BE - HW'!$E47+'TCO TO BE - HW'!$E27+'TCO TO BE - HW'!$E37</f>
        <v>0</v>
      </c>
      <c r="G12" s="86">
        <f>'TCO TO BE - HW'!$E8+'TCO TO BE - HW'!$E18+'TCO TO BE - HW'!$E48+'TCO TO BE - HW'!$E28+'TCO TO BE - HW'!$E38</f>
        <v>0</v>
      </c>
      <c r="H12" s="86">
        <f>'TCO TO BE - HW'!$E9+'TCO TO BE - HW'!$E19+'TCO TO BE - HW'!$E49+'TCO TO BE - HW'!$E29+'TCO TO BE - HW'!$E39</f>
        <v>0</v>
      </c>
      <c r="I12" s="86">
        <f>'TCO TO BE - HW'!$E10+'TCO TO BE - HW'!$E20+'TCO TO BE - HW'!$E50+'TCO TO BE - HW'!$E30+'TCO TO BE - HW'!$E40</f>
        <v>0</v>
      </c>
      <c r="J12" s="86">
        <f>'TCO TO BE - HW'!$E11+'TCO TO BE - HW'!$E21+'TCO TO BE - HW'!$E51+'TCO TO BE - HW'!$E31+'TCO TO BE - HW'!$E41</f>
        <v>0</v>
      </c>
      <c r="K12" s="86">
        <f>'TCO TO BE - HW'!$E12+'TCO TO BE - HW'!$E22+'TCO TO BE - HW'!$E52+'TCO TO BE - HW'!$E32+'TCO TO BE - HW'!$E42</f>
        <v>0</v>
      </c>
      <c r="L12" s="86">
        <f>'TCO TO BE - HW'!$E13+'TCO TO BE - HW'!$E23+'TCO TO BE - HW'!$E53+'TCO TO BE - HW'!$E33+'TCO TO BE - HW'!$E43</f>
        <v>0</v>
      </c>
      <c r="M12" s="104">
        <f>'TCO TO BE - HW'!$E14+'TCO TO BE - HW'!$E24+'TCO TO BE - HW'!$E54+'TCO TO BE - HW'!$E34+'TCO TO BE - HW'!$E44</f>
        <v>0</v>
      </c>
    </row>
    <row r="13" spans="1:13">
      <c r="A13" s="158"/>
      <c r="B13" s="156" t="s">
        <v>100</v>
      </c>
      <c r="C13" s="89">
        <f t="shared" si="0"/>
        <v>2460000</v>
      </c>
      <c r="D13" s="103">
        <f>'TCO TO BE - HW'!$E56+'TCO TO BE - HW'!$E66+'TCO TO BE - HW'!$E76+'TCO TO BE - HW'!$E86+'TCO TO BE - HW'!$E96</f>
        <v>138000</v>
      </c>
      <c r="E13" s="86">
        <f>'TCO TO BE - HW'!$E57+'TCO TO BE - HW'!$E67+'TCO TO BE - HW'!$E77+'TCO TO BE - HW'!$E87+'TCO TO BE - HW'!$E97</f>
        <v>258000</v>
      </c>
      <c r="F13" s="86">
        <f>'TCO TO BE - HW'!$E58+'TCO TO BE - HW'!$E68+'TCO TO BE - HW'!$E78+'TCO TO BE - HW'!$E88+'TCO TO BE - HW'!$E98</f>
        <v>258000</v>
      </c>
      <c r="G13" s="86">
        <f>'TCO TO BE - HW'!$E59+'TCO TO BE - HW'!$E69+'TCO TO BE - HW'!$E79+'TCO TO BE - HW'!$E89+'TCO TO BE - HW'!$E99</f>
        <v>258000</v>
      </c>
      <c r="H13" s="86">
        <f>'TCO TO BE - HW'!$E60+'TCO TO BE - HW'!$E70+'TCO TO BE - HW'!$E80+'TCO TO BE - HW'!$E90+'TCO TO BE - HW'!$E100</f>
        <v>258000</v>
      </c>
      <c r="I13" s="86">
        <f>'TCO TO BE - HW'!$E61+'TCO TO BE - HW'!$E71+'TCO TO BE - HW'!$E81+'TCO TO BE - HW'!$E91+'TCO TO BE - HW'!$E101</f>
        <v>258000</v>
      </c>
      <c r="J13" s="86">
        <f>'TCO TO BE - HW'!$E62+'TCO TO BE - HW'!$E72+'TCO TO BE - HW'!$E82+'TCO TO BE - HW'!$E92+'TCO TO BE - HW'!$E102</f>
        <v>258000</v>
      </c>
      <c r="K13" s="86">
        <f>'TCO TO BE - HW'!$E63+'TCO TO BE - HW'!$E73+'TCO TO BE - HW'!$E83+'TCO TO BE - HW'!$E93+'TCO TO BE - HW'!$E103</f>
        <v>258000</v>
      </c>
      <c r="L13" s="86">
        <f>'TCO TO BE - HW'!$E64+'TCO TO BE - HW'!$E74+'TCO TO BE - HW'!$E84+'TCO TO BE - HW'!$E94+'TCO TO BE - HW'!$E104</f>
        <v>258000</v>
      </c>
      <c r="M13" s="104">
        <f>'TCO TO BE - HW'!$E65+'TCO TO BE - HW'!$E75+'TCO TO BE - HW'!$E85+'TCO TO BE - HW'!$E95+'TCO TO BE - HW'!$E105</f>
        <v>258000</v>
      </c>
    </row>
    <row r="14" spans="1:13" ht="15.75" thickBot="1">
      <c r="A14" s="158"/>
      <c r="B14" s="319" t="s">
        <v>233</v>
      </c>
      <c r="C14" s="320">
        <f t="shared" si="0"/>
        <v>13104</v>
      </c>
      <c r="D14" s="321">
        <f>'TCO TO BE- SW'!E151+'TCO TO BE- SW'!E161</f>
        <v>11232</v>
      </c>
      <c r="E14" s="322">
        <f>'TCO TO BE- SW'!E152+'TCO TO BE- SW'!E162</f>
        <v>1872</v>
      </c>
      <c r="F14" s="322">
        <f>'TCO TO BE- SW'!E153+'TCO TO BE- SW'!E163</f>
        <v>0</v>
      </c>
      <c r="G14" s="322">
        <f>'TCO TO BE- SW'!E154+'TCO TO BE- SW'!E164</f>
        <v>0</v>
      </c>
      <c r="H14" s="322">
        <f>'TCO TO BE- SW'!E155+'TCO TO BE- SW'!E165</f>
        <v>0</v>
      </c>
      <c r="I14" s="322">
        <f>'TCO TO BE- SW'!E156+'TCO TO BE- SW'!E166</f>
        <v>0</v>
      </c>
      <c r="J14" s="322">
        <f>'TCO TO BE- SW'!E157+'TCO TO BE- SW'!E167</f>
        <v>0</v>
      </c>
      <c r="K14" s="322">
        <f>'TCO TO BE- SW'!E158+'TCO TO BE- SW'!E168</f>
        <v>0</v>
      </c>
      <c r="L14" s="322">
        <f>'TCO TO BE- SW'!E159+'TCO TO BE- SW'!E169</f>
        <v>0</v>
      </c>
      <c r="M14" s="323">
        <f>'TCO TO BE- SW'!E160+'TCO TO BE- SW'!E170</f>
        <v>0</v>
      </c>
    </row>
    <row r="15" spans="1:13" ht="15.75" thickBot="1">
      <c r="A15" s="159"/>
      <c r="B15" s="157" t="s">
        <v>101</v>
      </c>
      <c r="C15" s="91">
        <f>SUM(C7:C14)</f>
        <v>30731387.5035</v>
      </c>
      <c r="D15" s="87">
        <f>SUM(D7:D14)</f>
        <v>3543338.4</v>
      </c>
      <c r="E15" s="87">
        <f t="shared" ref="E15:M15" si="1">SUM(E7:E14)</f>
        <v>5619353.4000000004</v>
      </c>
      <c r="F15" s="87">
        <f t="shared" si="1"/>
        <v>7087050.9035</v>
      </c>
      <c r="G15" s="87">
        <f t="shared" si="1"/>
        <v>2068806.4</v>
      </c>
      <c r="H15" s="87">
        <f t="shared" si="1"/>
        <v>2068806.4</v>
      </c>
      <c r="I15" s="87">
        <f t="shared" si="1"/>
        <v>2068806.4</v>
      </c>
      <c r="J15" s="87">
        <f t="shared" si="1"/>
        <v>2068806.4</v>
      </c>
      <c r="K15" s="87">
        <f t="shared" si="1"/>
        <v>2068806.4</v>
      </c>
      <c r="L15" s="87">
        <f t="shared" si="1"/>
        <v>2068806.4</v>
      </c>
      <c r="M15" s="87">
        <f t="shared" si="1"/>
        <v>2068806.4</v>
      </c>
    </row>
    <row r="16" spans="1:13">
      <c r="A16" s="77"/>
      <c r="B16" s="77"/>
      <c r="C16" s="77"/>
      <c r="D16" s="77"/>
      <c r="E16" s="77"/>
      <c r="F16" s="77"/>
      <c r="G16" s="77"/>
      <c r="H16" s="77"/>
      <c r="I16" s="77"/>
      <c r="J16" s="77"/>
      <c r="K16" s="77"/>
      <c r="L16" s="77"/>
      <c r="M16" s="77"/>
    </row>
    <row r="17" spans="1:13">
      <c r="A17" s="77"/>
      <c r="B17" s="77"/>
      <c r="C17" s="77"/>
      <c r="D17" s="77"/>
      <c r="E17" s="77"/>
      <c r="F17" s="77"/>
      <c r="G17" s="77"/>
      <c r="H17" s="77"/>
      <c r="I17" s="77"/>
      <c r="J17" s="77"/>
      <c r="K17" s="77"/>
      <c r="L17" s="77"/>
      <c r="M17" s="77"/>
    </row>
    <row r="18" spans="1:13" ht="32.25" customHeight="1">
      <c r="A18" s="823" t="s">
        <v>112</v>
      </c>
      <c r="B18" s="823"/>
      <c r="C18" s="823"/>
      <c r="D18" s="83"/>
      <c r="E18" s="82"/>
      <c r="F18" s="82"/>
      <c r="G18" s="82"/>
      <c r="H18" s="82"/>
      <c r="I18" s="82"/>
      <c r="J18" s="82"/>
      <c r="K18" s="82"/>
      <c r="L18" s="82"/>
      <c r="M18" s="76"/>
    </row>
    <row r="19" spans="1:13">
      <c r="A19" s="77"/>
      <c r="B19" s="77"/>
      <c r="C19" s="77"/>
      <c r="D19" s="77"/>
      <c r="E19" s="77"/>
      <c r="F19" s="77"/>
      <c r="G19" s="77"/>
      <c r="H19" s="77"/>
      <c r="I19" s="77"/>
      <c r="J19" s="77"/>
      <c r="K19" s="77"/>
      <c r="L19" s="77"/>
      <c r="M19" s="77"/>
    </row>
    <row r="20" spans="1:13" ht="15.75" thickBot="1">
      <c r="B20" s="77"/>
      <c r="C20" s="81"/>
      <c r="D20" s="822" t="s">
        <v>98</v>
      </c>
      <c r="E20" s="822"/>
      <c r="F20" s="822"/>
      <c r="G20" s="822"/>
      <c r="H20" s="822"/>
      <c r="I20" s="822"/>
      <c r="J20" s="822"/>
      <c r="K20" s="822"/>
      <c r="L20" s="822"/>
      <c r="M20" s="822"/>
    </row>
    <row r="21" spans="1:13" ht="16.899999999999999" customHeight="1">
      <c r="A21" s="130"/>
      <c r="B21" s="154" t="s">
        <v>172</v>
      </c>
      <c r="C21" s="88" t="s">
        <v>102</v>
      </c>
      <c r="D21" s="100" t="s">
        <v>25</v>
      </c>
      <c r="E21" s="101" t="s">
        <v>26</v>
      </c>
      <c r="F21" s="101" t="s">
        <v>27</v>
      </c>
      <c r="G21" s="101" t="s">
        <v>28</v>
      </c>
      <c r="H21" s="101" t="s">
        <v>29</v>
      </c>
      <c r="I21" s="101" t="s">
        <v>30</v>
      </c>
      <c r="J21" s="101" t="s">
        <v>31</v>
      </c>
      <c r="K21" s="101" t="s">
        <v>32</v>
      </c>
      <c r="L21" s="101" t="s">
        <v>33</v>
      </c>
      <c r="M21" s="102" t="s">
        <v>34</v>
      </c>
    </row>
    <row r="22" spans="1:13" ht="15" customHeight="1">
      <c r="A22" s="158"/>
      <c r="B22" s="98" t="s">
        <v>105</v>
      </c>
      <c r="C22" s="89">
        <v>0</v>
      </c>
      <c r="D22" s="103">
        <v>0</v>
      </c>
      <c r="E22" s="86">
        <v>0</v>
      </c>
      <c r="F22" s="86">
        <v>0</v>
      </c>
      <c r="G22" s="86">
        <v>0</v>
      </c>
      <c r="H22" s="86">
        <v>0</v>
      </c>
      <c r="I22" s="86">
        <v>0</v>
      </c>
      <c r="J22" s="86">
        <v>0</v>
      </c>
      <c r="K22" s="86">
        <v>0</v>
      </c>
      <c r="L22" s="86">
        <v>0</v>
      </c>
      <c r="M22" s="104">
        <v>0</v>
      </c>
    </row>
    <row r="23" spans="1:13" ht="17.25" customHeight="1">
      <c r="A23" s="158"/>
      <c r="B23" s="98" t="s">
        <v>106</v>
      </c>
      <c r="C23" s="89">
        <f>SUM(D23:M23)</f>
        <v>1277904</v>
      </c>
      <c r="D23" s="103">
        <f>'TCO AS IS - SW'!E5+'TCO AS IS - SW'!E15</f>
        <v>127790.39999999999</v>
      </c>
      <c r="E23" s="86">
        <f>'TCO AS IS - SW'!E6+'TCO AS IS - SW'!E16</f>
        <v>127790.39999999999</v>
      </c>
      <c r="F23" s="86">
        <f>'TCO AS IS - SW'!E7+'TCO AS IS - SW'!E17</f>
        <v>127790.39999999999</v>
      </c>
      <c r="G23" s="86">
        <f>'TCO AS IS - SW'!E8+'TCO AS IS - SW'!E18</f>
        <v>127790.39999999999</v>
      </c>
      <c r="H23" s="86">
        <f>'TCO AS IS - SW'!E9+'TCO AS IS - SW'!E19</f>
        <v>127790.39999999999</v>
      </c>
      <c r="I23" s="86">
        <f>'TCO AS IS - SW'!E10+'TCO AS IS - SW'!E20</f>
        <v>127790.39999999999</v>
      </c>
      <c r="J23" s="86">
        <f>'TCO AS IS - SW'!E11+'TCO AS IS - SW'!E21</f>
        <v>127790.39999999999</v>
      </c>
      <c r="K23" s="86">
        <f>'TCO AS IS - SW'!E12+'TCO AS IS - SW'!E22</f>
        <v>127790.39999999999</v>
      </c>
      <c r="L23" s="86">
        <f>'TCO AS IS - SW'!E13+'TCO AS IS - SW'!E23</f>
        <v>127790.39999999999</v>
      </c>
      <c r="M23" s="104">
        <f>'TCO AS IS - SW'!E14+'TCO AS IS - SW'!E24</f>
        <v>127790.39999999999</v>
      </c>
    </row>
    <row r="24" spans="1:13">
      <c r="A24" s="158"/>
      <c r="B24" s="98" t="s">
        <v>107</v>
      </c>
      <c r="C24" s="89">
        <v>0</v>
      </c>
      <c r="D24" s="103">
        <v>0</v>
      </c>
      <c r="E24" s="86">
        <v>0</v>
      </c>
      <c r="F24" s="86">
        <v>0</v>
      </c>
      <c r="G24" s="86">
        <v>0</v>
      </c>
      <c r="H24" s="86">
        <v>0</v>
      </c>
      <c r="I24" s="86">
        <v>0</v>
      </c>
      <c r="J24" s="86">
        <v>0</v>
      </c>
      <c r="K24" s="86">
        <v>0</v>
      </c>
      <c r="L24" s="86">
        <v>0</v>
      </c>
      <c r="M24" s="104">
        <v>0</v>
      </c>
    </row>
    <row r="25" spans="1:13">
      <c r="A25" s="158"/>
      <c r="B25" s="98" t="s">
        <v>108</v>
      </c>
      <c r="C25" s="89">
        <f>SUM(D25:M25)</f>
        <v>533000</v>
      </c>
      <c r="D25" s="103">
        <f>'TCO AS IS - SW'!E26+'TCO AS IS - SW'!E36+'TCO AS IS - SW'!E46+'TCO AS IS - SW'!E56+'TCO AS IS - SW'!E66</f>
        <v>53300</v>
      </c>
      <c r="E25" s="86">
        <f>'TCO AS IS - SW'!E27+'TCO AS IS - SW'!E37+'TCO AS IS - SW'!E47+'TCO AS IS - SW'!E57+'TCO AS IS - SW'!E67</f>
        <v>53300</v>
      </c>
      <c r="F25" s="86">
        <f>'TCO AS IS - SW'!E28+'TCO AS IS - SW'!E38+'TCO AS IS - SW'!E48+'TCO AS IS - SW'!E58+'TCO AS IS - SW'!E68</f>
        <v>53300</v>
      </c>
      <c r="G25" s="86">
        <f>'TCO AS IS - SW'!E29+'TCO AS IS - SW'!E39+'TCO AS IS - SW'!E49+'TCO AS IS - SW'!E59+'TCO AS IS - SW'!E69</f>
        <v>53300</v>
      </c>
      <c r="H25" s="86">
        <f>'TCO AS IS - SW'!E30+'TCO AS IS - SW'!E40+'TCO AS IS - SW'!E50+'TCO AS IS - SW'!E60+'TCO AS IS - SW'!E70</f>
        <v>53300</v>
      </c>
      <c r="I25" s="86">
        <f>'TCO AS IS - SW'!E31+'TCO AS IS - SW'!E41+'TCO AS IS - SW'!E51+'TCO AS IS - SW'!E61+'TCO AS IS - SW'!E71</f>
        <v>53300</v>
      </c>
      <c r="J25" s="86">
        <f>'TCO AS IS - SW'!E32+'TCO AS IS - SW'!E42+'TCO AS IS - SW'!E52+'TCO AS IS - SW'!E62+'TCO AS IS - SW'!E72</f>
        <v>53300</v>
      </c>
      <c r="K25" s="86">
        <f>'TCO AS IS - SW'!E33+'TCO AS IS - SW'!E43+'TCO AS IS - SW'!E53+'TCO AS IS - SW'!E63+'TCO AS IS - SW'!E73</f>
        <v>53300</v>
      </c>
      <c r="L25" s="86">
        <f>'TCO AS IS - SW'!E34+'TCO AS IS - SW'!E44+'TCO AS IS - SW'!E54+'TCO AS IS - SW'!E64+'TCO AS IS - SW'!E74</f>
        <v>53300</v>
      </c>
      <c r="M25" s="104">
        <f>'TCO AS IS - SW'!E35+'TCO AS IS - SW'!E45+'TCO AS IS - SW'!E55+'TCO AS IS - SW'!E65+'TCO AS IS - SW'!E75</f>
        <v>53300</v>
      </c>
    </row>
    <row r="26" spans="1:13">
      <c r="A26" s="158"/>
      <c r="B26" s="98" t="s">
        <v>99</v>
      </c>
      <c r="C26" s="89">
        <v>0</v>
      </c>
      <c r="D26" s="103">
        <v>0</v>
      </c>
      <c r="E26" s="86">
        <v>0</v>
      </c>
      <c r="F26" s="86">
        <v>0</v>
      </c>
      <c r="G26" s="86">
        <v>0</v>
      </c>
      <c r="H26" s="86">
        <v>0</v>
      </c>
      <c r="I26" s="86">
        <v>0</v>
      </c>
      <c r="J26" s="86">
        <v>0</v>
      </c>
      <c r="K26" s="86">
        <v>0</v>
      </c>
      <c r="L26" s="86">
        <v>0</v>
      </c>
      <c r="M26" s="104">
        <v>0</v>
      </c>
    </row>
    <row r="27" spans="1:13" ht="15.75" thickBot="1">
      <c r="A27" s="158"/>
      <c r="B27" s="99" t="s">
        <v>100</v>
      </c>
      <c r="C27" s="90">
        <f>SUM(D27:M27)</f>
        <v>416000</v>
      </c>
      <c r="D27" s="105">
        <f>'TCO AS IS - HW'!E4+'TCO AS IS - HW'!E14+'TCO AS IS - HW'!E24+'TCO AS IS - HW'!E34+'TCO AS IS - HW'!E44</f>
        <v>41600</v>
      </c>
      <c r="E27" s="106">
        <f>'TCO AS IS - HW'!E5+'TCO AS IS - HW'!E15+'TCO AS IS - HW'!E25+'TCO AS IS - HW'!E35+'TCO AS IS - HW'!E45</f>
        <v>41600</v>
      </c>
      <c r="F27" s="106">
        <f>'TCO AS IS - HW'!E6+'TCO AS IS - HW'!E16+'TCO AS IS - HW'!E26+'TCO AS IS - HW'!E36+'TCO AS IS - HW'!E46</f>
        <v>41600</v>
      </c>
      <c r="G27" s="106">
        <f>'TCO AS IS - HW'!E7+'TCO AS IS - HW'!E17+'TCO AS IS - HW'!E27+'TCO AS IS - HW'!E37+'TCO AS IS - HW'!E47</f>
        <v>41600</v>
      </c>
      <c r="H27" s="106">
        <f>'TCO AS IS - HW'!E8+'TCO AS IS - HW'!E18+'TCO AS IS - HW'!E28+'TCO AS IS - HW'!E38+'TCO AS IS - HW'!E48</f>
        <v>41600</v>
      </c>
      <c r="I27" s="106">
        <f>'TCO AS IS - HW'!E9+'TCO AS IS - HW'!E19+'TCO AS IS - HW'!E29+'TCO AS IS - HW'!E39+'TCO AS IS - HW'!E49</f>
        <v>41600</v>
      </c>
      <c r="J27" s="106">
        <f>'TCO AS IS - HW'!E10+'TCO AS IS - HW'!E20+'TCO AS IS - HW'!E30+'TCO AS IS - HW'!E40+'TCO AS IS - HW'!E50</f>
        <v>41600</v>
      </c>
      <c r="K27" s="106">
        <f>'TCO AS IS - HW'!E11+'TCO AS IS - HW'!E21+'TCO AS IS - HW'!E31+'TCO AS IS - HW'!E41+'TCO AS IS - HW'!E51</f>
        <v>41600</v>
      </c>
      <c r="L27" s="106">
        <f>'TCO AS IS - HW'!E12+'TCO AS IS - HW'!E22+'TCO AS IS - HW'!E32+'TCO AS IS - HW'!E42+'TCO AS IS - HW'!E52</f>
        <v>41600</v>
      </c>
      <c r="M27" s="107">
        <f>'TCO AS IS - HW'!E13+'TCO AS IS - HW'!E23+'TCO AS IS - HW'!E33+'TCO AS IS - HW'!E43+'TCO AS IS - HW'!E53</f>
        <v>41600</v>
      </c>
    </row>
    <row r="28" spans="1:13" ht="15.75" thickBot="1">
      <c r="A28" s="159"/>
      <c r="B28" s="85" t="s">
        <v>101</v>
      </c>
      <c r="C28" s="91">
        <f t="shared" ref="C28:M28" si="2">SUM(C22:C27)</f>
        <v>2226904</v>
      </c>
      <c r="D28" s="87">
        <f t="shared" si="2"/>
        <v>222690.4</v>
      </c>
      <c r="E28" s="79">
        <f t="shared" si="2"/>
        <v>222690.4</v>
      </c>
      <c r="F28" s="79">
        <f t="shared" si="2"/>
        <v>222690.4</v>
      </c>
      <c r="G28" s="79">
        <f t="shared" si="2"/>
        <v>222690.4</v>
      </c>
      <c r="H28" s="79">
        <f t="shared" si="2"/>
        <v>222690.4</v>
      </c>
      <c r="I28" s="79">
        <f t="shared" si="2"/>
        <v>222690.4</v>
      </c>
      <c r="J28" s="79">
        <f t="shared" si="2"/>
        <v>222690.4</v>
      </c>
      <c r="K28" s="79">
        <f t="shared" si="2"/>
        <v>222690.4</v>
      </c>
      <c r="L28" s="93">
        <f t="shared" si="2"/>
        <v>222690.4</v>
      </c>
      <c r="M28" s="92">
        <f t="shared" si="2"/>
        <v>222690.4</v>
      </c>
    </row>
    <row r="29" spans="1:13">
      <c r="A29" s="151"/>
      <c r="B29" s="152"/>
      <c r="C29" s="153"/>
      <c r="D29" s="153"/>
      <c r="E29" s="153"/>
      <c r="F29" s="153"/>
      <c r="G29" s="153"/>
      <c r="H29" s="153"/>
      <c r="I29" s="153"/>
      <c r="J29" s="153"/>
      <c r="K29" s="153"/>
      <c r="L29" s="153"/>
      <c r="M29" s="153"/>
    </row>
    <row r="32" spans="1:13" ht="15.75" customHeight="1">
      <c r="A32" s="823" t="s">
        <v>159</v>
      </c>
      <c r="B32" s="823"/>
      <c r="C32" s="823"/>
    </row>
    <row r="34" spans="1:13" ht="15.75" thickBot="1"/>
    <row r="35" spans="1:13">
      <c r="A35" s="130"/>
      <c r="B35" s="154" t="s">
        <v>118</v>
      </c>
      <c r="C35" s="117" t="s">
        <v>102</v>
      </c>
      <c r="D35" s="118" t="s">
        <v>25</v>
      </c>
      <c r="E35" s="119" t="s">
        <v>26</v>
      </c>
      <c r="F35" s="119" t="s">
        <v>27</v>
      </c>
      <c r="G35" s="119" t="s">
        <v>28</v>
      </c>
      <c r="H35" s="119" t="s">
        <v>29</v>
      </c>
      <c r="I35" s="119" t="s">
        <v>30</v>
      </c>
      <c r="J35" s="119" t="s">
        <v>31</v>
      </c>
      <c r="K35" s="119" t="s">
        <v>32</v>
      </c>
      <c r="L35" s="119" t="s">
        <v>33</v>
      </c>
      <c r="M35" s="120" t="s">
        <v>34</v>
      </c>
    </row>
    <row r="36" spans="1:13">
      <c r="A36" s="158"/>
      <c r="B36" s="121" t="s">
        <v>105</v>
      </c>
      <c r="C36" s="89">
        <f>SUM(D36:M36)</f>
        <v>4164919.1999999997</v>
      </c>
      <c r="D36" s="103">
        <f t="shared" ref="D36:M36" si="3">D7-D22</f>
        <v>948306.4</v>
      </c>
      <c r="E36" s="86">
        <f t="shared" si="3"/>
        <v>1605306.4</v>
      </c>
      <c r="F36" s="86">
        <f t="shared" si="3"/>
        <v>1611306.4</v>
      </c>
      <c r="G36" s="86">
        <f t="shared" si="3"/>
        <v>0</v>
      </c>
      <c r="H36" s="86">
        <f t="shared" si="3"/>
        <v>0</v>
      </c>
      <c r="I36" s="86">
        <f t="shared" si="3"/>
        <v>0</v>
      </c>
      <c r="J36" s="86">
        <f t="shared" si="3"/>
        <v>0</v>
      </c>
      <c r="K36" s="86">
        <f t="shared" si="3"/>
        <v>0</v>
      </c>
      <c r="L36" s="86">
        <f t="shared" si="3"/>
        <v>0</v>
      </c>
      <c r="M36" s="122">
        <f t="shared" si="3"/>
        <v>0</v>
      </c>
    </row>
    <row r="37" spans="1:13">
      <c r="A37" s="158"/>
      <c r="B37" s="98" t="s">
        <v>106</v>
      </c>
      <c r="C37" s="89">
        <f t="shared" ref="C37:C43" si="4">SUM(D37:M37)</f>
        <v>10001240.800000001</v>
      </c>
      <c r="D37" s="103">
        <f t="shared" ref="D37:M37" si="5">D8-D23</f>
        <v>-127790.39999999999</v>
      </c>
      <c r="E37" s="86">
        <f t="shared" si="5"/>
        <v>-127790.39999999999</v>
      </c>
      <c r="F37" s="86">
        <f t="shared" si="5"/>
        <v>-127790.39999999999</v>
      </c>
      <c r="G37" s="86">
        <f t="shared" si="5"/>
        <v>1483516</v>
      </c>
      <c r="H37" s="86">
        <f t="shared" si="5"/>
        <v>1483516</v>
      </c>
      <c r="I37" s="86">
        <f t="shared" si="5"/>
        <v>1483516</v>
      </c>
      <c r="J37" s="86">
        <f t="shared" si="5"/>
        <v>1483516</v>
      </c>
      <c r="K37" s="86">
        <f t="shared" si="5"/>
        <v>1483516</v>
      </c>
      <c r="L37" s="123">
        <f t="shared" si="5"/>
        <v>1483516</v>
      </c>
      <c r="M37" s="104">
        <f t="shared" si="5"/>
        <v>1483516</v>
      </c>
    </row>
    <row r="38" spans="1:13">
      <c r="A38" s="158"/>
      <c r="B38" s="121" t="s">
        <v>107</v>
      </c>
      <c r="C38" s="89">
        <f t="shared" si="4"/>
        <v>10924819.5035</v>
      </c>
      <c r="D38" s="103">
        <f t="shared" ref="D38:M38" si="6">D9-D24</f>
        <v>2351900</v>
      </c>
      <c r="E38" s="86">
        <f t="shared" si="6"/>
        <v>3554675</v>
      </c>
      <c r="F38" s="86">
        <f t="shared" si="6"/>
        <v>5018244.5034999996</v>
      </c>
      <c r="G38" s="86">
        <f t="shared" si="6"/>
        <v>0</v>
      </c>
      <c r="H38" s="86">
        <f t="shared" si="6"/>
        <v>0</v>
      </c>
      <c r="I38" s="86">
        <f t="shared" si="6"/>
        <v>0</v>
      </c>
      <c r="J38" s="86">
        <f t="shared" si="6"/>
        <v>0</v>
      </c>
      <c r="K38" s="86">
        <f t="shared" si="6"/>
        <v>0</v>
      </c>
      <c r="L38" s="123">
        <f t="shared" si="6"/>
        <v>0</v>
      </c>
      <c r="M38" s="104">
        <f t="shared" si="6"/>
        <v>0</v>
      </c>
    </row>
    <row r="39" spans="1:13">
      <c r="A39" s="158"/>
      <c r="B39" s="98" t="s">
        <v>108</v>
      </c>
      <c r="C39" s="89">
        <f t="shared" si="4"/>
        <v>1356400</v>
      </c>
      <c r="D39" s="103">
        <f t="shared" ref="D39:M39" si="7">D10-D25</f>
        <v>40600</v>
      </c>
      <c r="E39" s="86">
        <f t="shared" si="7"/>
        <v>146200</v>
      </c>
      <c r="F39" s="86">
        <f t="shared" si="7"/>
        <v>146200</v>
      </c>
      <c r="G39" s="86">
        <f t="shared" si="7"/>
        <v>146200</v>
      </c>
      <c r="H39" s="86">
        <f t="shared" si="7"/>
        <v>146200</v>
      </c>
      <c r="I39" s="86">
        <f t="shared" si="7"/>
        <v>146200</v>
      </c>
      <c r="J39" s="86">
        <f t="shared" si="7"/>
        <v>146200</v>
      </c>
      <c r="K39" s="86">
        <f t="shared" si="7"/>
        <v>146200</v>
      </c>
      <c r="L39" s="123">
        <f t="shared" si="7"/>
        <v>146200</v>
      </c>
      <c r="M39" s="104">
        <f t="shared" si="7"/>
        <v>146200</v>
      </c>
    </row>
    <row r="40" spans="1:13">
      <c r="A40" s="158"/>
      <c r="B40" s="98" t="s">
        <v>248</v>
      </c>
      <c r="C40" s="89">
        <f t="shared" si="4"/>
        <v>0</v>
      </c>
      <c r="D40" s="103">
        <f t="shared" ref="D40:M40" si="8">D11</f>
        <v>0</v>
      </c>
      <c r="E40" s="86">
        <f t="shared" si="8"/>
        <v>0</v>
      </c>
      <c r="F40" s="86">
        <f t="shared" si="8"/>
        <v>0</v>
      </c>
      <c r="G40" s="86">
        <f t="shared" si="8"/>
        <v>0</v>
      </c>
      <c r="H40" s="86">
        <f t="shared" si="8"/>
        <v>0</v>
      </c>
      <c r="I40" s="86">
        <f t="shared" si="8"/>
        <v>0</v>
      </c>
      <c r="J40" s="86">
        <f t="shared" si="8"/>
        <v>0</v>
      </c>
      <c r="K40" s="86">
        <f t="shared" si="8"/>
        <v>0</v>
      </c>
      <c r="L40" s="123">
        <f t="shared" si="8"/>
        <v>0</v>
      </c>
      <c r="M40" s="104">
        <f t="shared" si="8"/>
        <v>0</v>
      </c>
    </row>
    <row r="41" spans="1:13">
      <c r="A41" s="158"/>
      <c r="B41" s="98" t="s">
        <v>120</v>
      </c>
      <c r="C41" s="89">
        <f t="shared" si="4"/>
        <v>0</v>
      </c>
      <c r="D41" s="103">
        <f t="shared" ref="D41:M41" si="9">D12-D26</f>
        <v>0</v>
      </c>
      <c r="E41" s="86">
        <f t="shared" si="9"/>
        <v>0</v>
      </c>
      <c r="F41" s="86">
        <f t="shared" si="9"/>
        <v>0</v>
      </c>
      <c r="G41" s="86">
        <f t="shared" si="9"/>
        <v>0</v>
      </c>
      <c r="H41" s="86">
        <f t="shared" si="9"/>
        <v>0</v>
      </c>
      <c r="I41" s="86">
        <f t="shared" si="9"/>
        <v>0</v>
      </c>
      <c r="J41" s="86">
        <f t="shared" si="9"/>
        <v>0</v>
      </c>
      <c r="K41" s="86">
        <f t="shared" si="9"/>
        <v>0</v>
      </c>
      <c r="L41" s="123">
        <f t="shared" si="9"/>
        <v>0</v>
      </c>
      <c r="M41" s="104">
        <f t="shared" si="9"/>
        <v>0</v>
      </c>
    </row>
    <row r="42" spans="1:13">
      <c r="A42" s="158"/>
      <c r="B42" s="99" t="s">
        <v>121</v>
      </c>
      <c r="C42" s="90">
        <f t="shared" si="4"/>
        <v>2044000</v>
      </c>
      <c r="D42" s="103">
        <f t="shared" ref="D42:M42" si="10">D13-D27</f>
        <v>96400</v>
      </c>
      <c r="E42" s="86">
        <f t="shared" si="10"/>
        <v>216400</v>
      </c>
      <c r="F42" s="86">
        <f t="shared" si="10"/>
        <v>216400</v>
      </c>
      <c r="G42" s="86">
        <f t="shared" si="10"/>
        <v>216400</v>
      </c>
      <c r="H42" s="86">
        <f t="shared" si="10"/>
        <v>216400</v>
      </c>
      <c r="I42" s="86">
        <f t="shared" si="10"/>
        <v>216400</v>
      </c>
      <c r="J42" s="86">
        <f t="shared" si="10"/>
        <v>216400</v>
      </c>
      <c r="K42" s="86">
        <f t="shared" si="10"/>
        <v>216400</v>
      </c>
      <c r="L42" s="123">
        <f t="shared" si="10"/>
        <v>216400</v>
      </c>
      <c r="M42" s="104">
        <f t="shared" si="10"/>
        <v>216400</v>
      </c>
    </row>
    <row r="43" spans="1:13" ht="15.75" thickBot="1">
      <c r="A43" s="158"/>
      <c r="B43" s="98" t="s">
        <v>233</v>
      </c>
      <c r="C43" s="89">
        <f t="shared" si="4"/>
        <v>13104</v>
      </c>
      <c r="D43" s="103">
        <f t="shared" ref="D43:M43" si="11">D14</f>
        <v>11232</v>
      </c>
      <c r="E43" s="86">
        <f t="shared" si="11"/>
        <v>1872</v>
      </c>
      <c r="F43" s="86">
        <f t="shared" si="11"/>
        <v>0</v>
      </c>
      <c r="G43" s="86">
        <f t="shared" si="11"/>
        <v>0</v>
      </c>
      <c r="H43" s="86">
        <f t="shared" si="11"/>
        <v>0</v>
      </c>
      <c r="I43" s="86">
        <f t="shared" si="11"/>
        <v>0</v>
      </c>
      <c r="J43" s="86">
        <f t="shared" si="11"/>
        <v>0</v>
      </c>
      <c r="K43" s="86">
        <f t="shared" si="11"/>
        <v>0</v>
      </c>
      <c r="L43" s="123">
        <f t="shared" si="11"/>
        <v>0</v>
      </c>
      <c r="M43" s="104">
        <f t="shared" si="11"/>
        <v>0</v>
      </c>
    </row>
    <row r="44" spans="1:13" ht="15.75" thickBot="1">
      <c r="A44" s="159"/>
      <c r="B44" s="85" t="s">
        <v>101</v>
      </c>
      <c r="C44" s="91">
        <f>SUM(D44:M44)</f>
        <v>28502611.5035</v>
      </c>
      <c r="D44" s="87">
        <f>SUM(D36:D43)</f>
        <v>3320648</v>
      </c>
      <c r="E44" s="79">
        <f t="shared" ref="E44:M44" si="12">SUM(E36:E42)</f>
        <v>5394791</v>
      </c>
      <c r="F44" s="79">
        <f t="shared" si="12"/>
        <v>6864360.5034999996</v>
      </c>
      <c r="G44" s="79">
        <f t="shared" si="12"/>
        <v>1846116</v>
      </c>
      <c r="H44" s="79">
        <f t="shared" si="12"/>
        <v>1846116</v>
      </c>
      <c r="I44" s="79">
        <f t="shared" si="12"/>
        <v>1846116</v>
      </c>
      <c r="J44" s="79">
        <f t="shared" si="12"/>
        <v>1846116</v>
      </c>
      <c r="K44" s="79">
        <f t="shared" si="12"/>
        <v>1846116</v>
      </c>
      <c r="L44" s="93">
        <f t="shared" si="12"/>
        <v>1846116</v>
      </c>
      <c r="M44" s="92">
        <f t="shared" si="12"/>
        <v>1846116</v>
      </c>
    </row>
  </sheetData>
  <mergeCells count="4">
    <mergeCell ref="D5:M5"/>
    <mergeCell ref="A18:C18"/>
    <mergeCell ref="D20:M20"/>
    <mergeCell ref="A32:C32"/>
  </mergeCells>
  <pageMargins left="0.7" right="0.7" top="0.75" bottom="0.75" header="0.3" footer="0.3"/>
  <pageSetup paperSize="9" scale="36"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árok10">
    <tabColor rgb="FFFFFF00"/>
    <outlinePr summaryBelow="0" summaryRight="0"/>
  </sheetPr>
  <dimension ref="A1:E75"/>
  <sheetViews>
    <sheetView zoomScale="80" zoomScaleNormal="80" workbookViewId="0">
      <pane xSplit="3" ySplit="4" topLeftCell="D5" activePane="bottomRight" state="frozen"/>
      <selection activeCell="G18" sqref="G18"/>
      <selection pane="topRight" activeCell="G18" sqref="G18"/>
      <selection pane="bottomLeft" activeCell="G18" sqref="G18"/>
      <selection pane="bottomRight" activeCell="H43" sqref="H43"/>
    </sheetView>
  </sheetViews>
  <sheetFormatPr defaultColWidth="8.7109375" defaultRowHeight="15" outlineLevelRow="2"/>
  <cols>
    <col min="1" max="1" width="22.42578125" customWidth="1"/>
    <col min="2" max="2" width="24.7109375" customWidth="1"/>
    <col min="3" max="3" width="22.42578125" customWidth="1"/>
    <col min="4" max="4" width="11" customWidth="1"/>
    <col min="5" max="5" width="17.7109375" customWidth="1"/>
  </cols>
  <sheetData>
    <row r="1" spans="1:5" ht="25.15" customHeight="1" thickBot="1">
      <c r="A1" s="826" t="s">
        <v>96</v>
      </c>
      <c r="B1" s="826"/>
      <c r="C1" s="826"/>
      <c r="D1" s="827"/>
      <c r="E1" s="66" t="s">
        <v>35</v>
      </c>
    </row>
    <row r="2" spans="1:5" ht="15.75" collapsed="1" thickBot="1">
      <c r="A2" s="36" t="s">
        <v>0</v>
      </c>
      <c r="B2" s="70" t="s">
        <v>73</v>
      </c>
      <c r="C2" s="70" t="s">
        <v>72</v>
      </c>
      <c r="D2" s="70" t="s">
        <v>23</v>
      </c>
      <c r="E2" s="17"/>
    </row>
    <row r="3" spans="1:5" ht="15.75" thickBot="1">
      <c r="A3" s="828" t="s">
        <v>77</v>
      </c>
      <c r="B3" s="829"/>
      <c r="C3" s="829"/>
      <c r="D3" s="75"/>
      <c r="E3" s="72">
        <f>E4+E25</f>
        <v>1810904</v>
      </c>
    </row>
    <row r="4" spans="1:5" ht="15.75" outlineLevel="1" thickBot="1">
      <c r="A4" s="17" t="s">
        <v>103</v>
      </c>
      <c r="B4" s="17"/>
      <c r="C4" s="17"/>
      <c r="D4" s="27"/>
      <c r="E4" s="108">
        <f>SUM(E5:E24)</f>
        <v>1277904</v>
      </c>
    </row>
    <row r="5" spans="1:5" outlineLevel="2">
      <c r="A5" s="824" t="s">
        <v>78</v>
      </c>
      <c r="B5" s="825" t="s">
        <v>79</v>
      </c>
      <c r="C5" s="825">
        <v>635009</v>
      </c>
      <c r="D5" s="63" t="s">
        <v>25</v>
      </c>
      <c r="E5" s="567">
        <v>127790.39999999999</v>
      </c>
    </row>
    <row r="6" spans="1:5" outlineLevel="2">
      <c r="A6" s="824"/>
      <c r="B6" s="825"/>
      <c r="C6" s="825"/>
      <c r="D6" s="64" t="s">
        <v>26</v>
      </c>
      <c r="E6" s="568">
        <v>127790.39999999999</v>
      </c>
    </row>
    <row r="7" spans="1:5" outlineLevel="2">
      <c r="A7" s="824"/>
      <c r="B7" s="825"/>
      <c r="C7" s="825"/>
      <c r="D7" s="64" t="s">
        <v>27</v>
      </c>
      <c r="E7" s="568">
        <v>127790.39999999999</v>
      </c>
    </row>
    <row r="8" spans="1:5" outlineLevel="2">
      <c r="A8" s="824"/>
      <c r="B8" s="825"/>
      <c r="C8" s="825"/>
      <c r="D8" s="64" t="s">
        <v>28</v>
      </c>
      <c r="E8" s="568">
        <v>127790.39999999999</v>
      </c>
    </row>
    <row r="9" spans="1:5" outlineLevel="2">
      <c r="A9" s="824"/>
      <c r="B9" s="825"/>
      <c r="C9" s="825"/>
      <c r="D9" s="64" t="s">
        <v>29</v>
      </c>
      <c r="E9" s="568">
        <v>127790.39999999999</v>
      </c>
    </row>
    <row r="10" spans="1:5" outlineLevel="2">
      <c r="A10" s="824"/>
      <c r="B10" s="825"/>
      <c r="C10" s="825"/>
      <c r="D10" s="64" t="s">
        <v>30</v>
      </c>
      <c r="E10" s="568">
        <v>127790.39999999999</v>
      </c>
    </row>
    <row r="11" spans="1:5" outlineLevel="2">
      <c r="A11" s="824"/>
      <c r="B11" s="825"/>
      <c r="C11" s="825"/>
      <c r="D11" s="64" t="s">
        <v>31</v>
      </c>
      <c r="E11" s="568">
        <v>127790.39999999999</v>
      </c>
    </row>
    <row r="12" spans="1:5" outlineLevel="2">
      <c r="A12" s="824"/>
      <c r="B12" s="825"/>
      <c r="C12" s="825"/>
      <c r="D12" s="64" t="s">
        <v>32</v>
      </c>
      <c r="E12" s="568">
        <v>127790.39999999999</v>
      </c>
    </row>
    <row r="13" spans="1:5" outlineLevel="2">
      <c r="A13" s="824"/>
      <c r="B13" s="825"/>
      <c r="C13" s="825"/>
      <c r="D13" s="64" t="s">
        <v>33</v>
      </c>
      <c r="E13" s="568">
        <v>127790.39999999999</v>
      </c>
    </row>
    <row r="14" spans="1:5" ht="15.75" outlineLevel="2" thickBot="1">
      <c r="A14" s="824"/>
      <c r="B14" s="825"/>
      <c r="C14" s="825"/>
      <c r="D14" s="65" t="s">
        <v>34</v>
      </c>
      <c r="E14" s="569">
        <v>127790.39999999999</v>
      </c>
    </row>
    <row r="15" spans="1:5" outlineLevel="2">
      <c r="A15" s="824" t="s">
        <v>80</v>
      </c>
      <c r="B15" s="825" t="s">
        <v>71</v>
      </c>
      <c r="C15" s="825">
        <v>718006</v>
      </c>
      <c r="D15" s="63" t="s">
        <v>25</v>
      </c>
      <c r="E15" s="568">
        <v>0</v>
      </c>
    </row>
    <row r="16" spans="1:5" outlineLevel="2">
      <c r="A16" s="824"/>
      <c r="B16" s="825"/>
      <c r="C16" s="825"/>
      <c r="D16" s="64" t="s">
        <v>26</v>
      </c>
      <c r="E16" s="568">
        <v>0</v>
      </c>
    </row>
    <row r="17" spans="1:5" outlineLevel="2">
      <c r="A17" s="824"/>
      <c r="B17" s="825"/>
      <c r="C17" s="825"/>
      <c r="D17" s="64" t="s">
        <v>27</v>
      </c>
      <c r="E17" s="568">
        <v>0</v>
      </c>
    </row>
    <row r="18" spans="1:5" outlineLevel="2">
      <c r="A18" s="824"/>
      <c r="B18" s="825"/>
      <c r="C18" s="825"/>
      <c r="D18" s="64" t="s">
        <v>28</v>
      </c>
      <c r="E18" s="568">
        <v>0</v>
      </c>
    </row>
    <row r="19" spans="1:5" outlineLevel="2">
      <c r="A19" s="824"/>
      <c r="B19" s="825"/>
      <c r="C19" s="825"/>
      <c r="D19" s="64" t="s">
        <v>29</v>
      </c>
      <c r="E19" s="568">
        <v>0</v>
      </c>
    </row>
    <row r="20" spans="1:5" outlineLevel="2">
      <c r="A20" s="824"/>
      <c r="B20" s="825"/>
      <c r="C20" s="825"/>
      <c r="D20" s="64" t="s">
        <v>30</v>
      </c>
      <c r="E20" s="568">
        <v>0</v>
      </c>
    </row>
    <row r="21" spans="1:5" outlineLevel="2">
      <c r="A21" s="824"/>
      <c r="B21" s="825"/>
      <c r="C21" s="825"/>
      <c r="D21" s="64" t="s">
        <v>31</v>
      </c>
      <c r="E21" s="568">
        <v>0</v>
      </c>
    </row>
    <row r="22" spans="1:5" outlineLevel="2">
      <c r="A22" s="824"/>
      <c r="B22" s="825"/>
      <c r="C22" s="825"/>
      <c r="D22" s="64" t="s">
        <v>32</v>
      </c>
      <c r="E22" s="568">
        <v>0</v>
      </c>
    </row>
    <row r="23" spans="1:5" outlineLevel="2">
      <c r="A23" s="824"/>
      <c r="B23" s="825"/>
      <c r="C23" s="825"/>
      <c r="D23" s="64" t="s">
        <v>33</v>
      </c>
      <c r="E23" s="568">
        <v>0</v>
      </c>
    </row>
    <row r="24" spans="1:5" ht="15.75" outlineLevel="2" thickBot="1">
      <c r="A24" s="824"/>
      <c r="B24" s="825"/>
      <c r="C24" s="825"/>
      <c r="D24" s="65" t="s">
        <v>34</v>
      </c>
      <c r="E24" s="569">
        <v>0</v>
      </c>
    </row>
    <row r="25" spans="1:5" ht="15.75" outlineLevel="1" thickBot="1">
      <c r="A25" s="17" t="s">
        <v>104</v>
      </c>
      <c r="B25" s="17"/>
      <c r="C25" s="17"/>
      <c r="D25" s="27"/>
      <c r="E25" s="110">
        <f>SUM(E26:E75)</f>
        <v>533000</v>
      </c>
    </row>
    <row r="26" spans="1:5" outlineLevel="2">
      <c r="A26" s="824" t="s">
        <v>81</v>
      </c>
      <c r="B26" s="825" t="s">
        <v>79</v>
      </c>
      <c r="C26" s="825">
        <v>635009</v>
      </c>
      <c r="D26" s="63" t="s">
        <v>25</v>
      </c>
      <c r="E26" s="570">
        <v>0</v>
      </c>
    </row>
    <row r="27" spans="1:5" outlineLevel="2">
      <c r="A27" s="824"/>
      <c r="B27" s="825"/>
      <c r="C27" s="825"/>
      <c r="D27" s="64" t="s">
        <v>26</v>
      </c>
      <c r="E27" s="571">
        <v>0</v>
      </c>
    </row>
    <row r="28" spans="1:5" outlineLevel="2">
      <c r="A28" s="824"/>
      <c r="B28" s="825"/>
      <c r="C28" s="825"/>
      <c r="D28" s="64" t="s">
        <v>27</v>
      </c>
      <c r="E28" s="571">
        <v>0</v>
      </c>
    </row>
    <row r="29" spans="1:5" outlineLevel="2">
      <c r="A29" s="824"/>
      <c r="B29" s="825"/>
      <c r="C29" s="825"/>
      <c r="D29" s="64" t="s">
        <v>28</v>
      </c>
      <c r="E29" s="571">
        <v>0</v>
      </c>
    </row>
    <row r="30" spans="1:5" outlineLevel="2">
      <c r="A30" s="824"/>
      <c r="B30" s="825"/>
      <c r="C30" s="825"/>
      <c r="D30" s="64" t="s">
        <v>29</v>
      </c>
      <c r="E30" s="571">
        <v>0</v>
      </c>
    </row>
    <row r="31" spans="1:5" outlineLevel="2">
      <c r="A31" s="824"/>
      <c r="B31" s="825"/>
      <c r="C31" s="825"/>
      <c r="D31" s="64" t="s">
        <v>30</v>
      </c>
      <c r="E31" s="571">
        <v>0</v>
      </c>
    </row>
    <row r="32" spans="1:5" outlineLevel="2">
      <c r="A32" s="824"/>
      <c r="B32" s="825"/>
      <c r="C32" s="825"/>
      <c r="D32" s="64" t="s">
        <v>31</v>
      </c>
      <c r="E32" s="571">
        <v>0</v>
      </c>
    </row>
    <row r="33" spans="1:5" outlineLevel="2">
      <c r="A33" s="824"/>
      <c r="B33" s="825"/>
      <c r="C33" s="825"/>
      <c r="D33" s="64" t="s">
        <v>32</v>
      </c>
      <c r="E33" s="571">
        <v>0</v>
      </c>
    </row>
    <row r="34" spans="1:5" outlineLevel="2">
      <c r="A34" s="824"/>
      <c r="B34" s="825"/>
      <c r="C34" s="825"/>
      <c r="D34" s="64" t="s">
        <v>33</v>
      </c>
      <c r="E34" s="571">
        <v>0</v>
      </c>
    </row>
    <row r="35" spans="1:5" ht="15.75" outlineLevel="2" thickBot="1">
      <c r="A35" s="824"/>
      <c r="B35" s="825"/>
      <c r="C35" s="825"/>
      <c r="D35" s="65" t="s">
        <v>34</v>
      </c>
      <c r="E35" s="572">
        <v>0</v>
      </c>
    </row>
    <row r="36" spans="1:5" outlineLevel="2">
      <c r="A36" s="824" t="s">
        <v>82</v>
      </c>
      <c r="B36" s="825" t="s">
        <v>79</v>
      </c>
      <c r="C36" s="825">
        <v>635009</v>
      </c>
      <c r="D36" s="63" t="s">
        <v>25</v>
      </c>
      <c r="E36" s="570">
        <v>53300</v>
      </c>
    </row>
    <row r="37" spans="1:5" outlineLevel="2">
      <c r="A37" s="824"/>
      <c r="B37" s="825"/>
      <c r="C37" s="825"/>
      <c r="D37" s="64" t="s">
        <v>26</v>
      </c>
      <c r="E37" s="571">
        <v>53300</v>
      </c>
    </row>
    <row r="38" spans="1:5" outlineLevel="2">
      <c r="A38" s="824"/>
      <c r="B38" s="825"/>
      <c r="C38" s="825"/>
      <c r="D38" s="64" t="s">
        <v>27</v>
      </c>
      <c r="E38" s="571">
        <v>53300</v>
      </c>
    </row>
    <row r="39" spans="1:5" outlineLevel="2">
      <c r="A39" s="824"/>
      <c r="B39" s="825"/>
      <c r="C39" s="825"/>
      <c r="D39" s="64" t="s">
        <v>28</v>
      </c>
      <c r="E39" s="571">
        <v>53300</v>
      </c>
    </row>
    <row r="40" spans="1:5" outlineLevel="2">
      <c r="A40" s="824"/>
      <c r="B40" s="825"/>
      <c r="C40" s="825"/>
      <c r="D40" s="64" t="s">
        <v>29</v>
      </c>
      <c r="E40" s="571">
        <v>53300</v>
      </c>
    </row>
    <row r="41" spans="1:5" outlineLevel="2">
      <c r="A41" s="824"/>
      <c r="B41" s="825"/>
      <c r="C41" s="825"/>
      <c r="D41" s="64" t="s">
        <v>30</v>
      </c>
      <c r="E41" s="571">
        <v>53300</v>
      </c>
    </row>
    <row r="42" spans="1:5" outlineLevel="2">
      <c r="A42" s="824"/>
      <c r="B42" s="825"/>
      <c r="C42" s="825"/>
      <c r="D42" s="64" t="s">
        <v>31</v>
      </c>
      <c r="E42" s="571">
        <v>53300</v>
      </c>
    </row>
    <row r="43" spans="1:5" outlineLevel="2">
      <c r="A43" s="824"/>
      <c r="B43" s="825"/>
      <c r="C43" s="825"/>
      <c r="D43" s="64" t="s">
        <v>32</v>
      </c>
      <c r="E43" s="571">
        <v>53300</v>
      </c>
    </row>
    <row r="44" spans="1:5" outlineLevel="2">
      <c r="A44" s="824"/>
      <c r="B44" s="825"/>
      <c r="C44" s="825"/>
      <c r="D44" s="64" t="s">
        <v>33</v>
      </c>
      <c r="E44" s="571">
        <v>53300</v>
      </c>
    </row>
    <row r="45" spans="1:5" ht="15.75" outlineLevel="2" thickBot="1">
      <c r="A45" s="824"/>
      <c r="B45" s="825"/>
      <c r="C45" s="825"/>
      <c r="D45" s="65" t="s">
        <v>34</v>
      </c>
      <c r="E45" s="572">
        <v>53300</v>
      </c>
    </row>
    <row r="46" spans="1:5" outlineLevel="2">
      <c r="A46" s="824" t="s">
        <v>83</v>
      </c>
      <c r="B46" s="825" t="s">
        <v>71</v>
      </c>
      <c r="C46" s="825">
        <v>718006</v>
      </c>
      <c r="D46" s="63" t="s">
        <v>25</v>
      </c>
      <c r="E46" s="571">
        <v>0</v>
      </c>
    </row>
    <row r="47" spans="1:5" outlineLevel="2">
      <c r="A47" s="824"/>
      <c r="B47" s="825"/>
      <c r="C47" s="825"/>
      <c r="D47" s="64" t="s">
        <v>26</v>
      </c>
      <c r="E47" s="571">
        <v>0</v>
      </c>
    </row>
    <row r="48" spans="1:5" outlineLevel="2">
      <c r="A48" s="824"/>
      <c r="B48" s="825"/>
      <c r="C48" s="825"/>
      <c r="D48" s="64" t="s">
        <v>27</v>
      </c>
      <c r="E48" s="571">
        <v>0</v>
      </c>
    </row>
    <row r="49" spans="1:5" outlineLevel="2">
      <c r="A49" s="824"/>
      <c r="B49" s="825"/>
      <c r="C49" s="825"/>
      <c r="D49" s="64" t="s">
        <v>28</v>
      </c>
      <c r="E49" s="571">
        <v>0</v>
      </c>
    </row>
    <row r="50" spans="1:5" outlineLevel="2">
      <c r="A50" s="824"/>
      <c r="B50" s="825"/>
      <c r="C50" s="825"/>
      <c r="D50" s="64" t="s">
        <v>29</v>
      </c>
      <c r="E50" s="571">
        <v>0</v>
      </c>
    </row>
    <row r="51" spans="1:5" outlineLevel="2">
      <c r="A51" s="824"/>
      <c r="B51" s="825"/>
      <c r="C51" s="825"/>
      <c r="D51" s="64" t="s">
        <v>30</v>
      </c>
      <c r="E51" s="571">
        <v>0</v>
      </c>
    </row>
    <row r="52" spans="1:5" outlineLevel="2">
      <c r="A52" s="824"/>
      <c r="B52" s="825"/>
      <c r="C52" s="825"/>
      <c r="D52" s="64" t="s">
        <v>31</v>
      </c>
      <c r="E52" s="571">
        <v>0</v>
      </c>
    </row>
    <row r="53" spans="1:5" outlineLevel="2">
      <c r="A53" s="824"/>
      <c r="B53" s="825"/>
      <c r="C53" s="825"/>
      <c r="D53" s="64" t="s">
        <v>32</v>
      </c>
      <c r="E53" s="571">
        <v>0</v>
      </c>
    </row>
    <row r="54" spans="1:5" outlineLevel="2">
      <c r="A54" s="824"/>
      <c r="B54" s="825"/>
      <c r="C54" s="825"/>
      <c r="D54" s="64" t="s">
        <v>33</v>
      </c>
      <c r="E54" s="571">
        <v>0</v>
      </c>
    </row>
    <row r="55" spans="1:5" ht="15.75" outlineLevel="2" thickBot="1">
      <c r="A55" s="824"/>
      <c r="B55" s="825"/>
      <c r="C55" s="825"/>
      <c r="D55" s="65" t="s">
        <v>34</v>
      </c>
      <c r="E55" s="571">
        <v>0</v>
      </c>
    </row>
    <row r="56" spans="1:5" outlineLevel="2">
      <c r="A56" s="824" t="s">
        <v>84</v>
      </c>
      <c r="B56" s="825" t="s">
        <v>529</v>
      </c>
      <c r="C56" s="825">
        <v>610</v>
      </c>
      <c r="D56" s="63" t="s">
        <v>25</v>
      </c>
      <c r="E56" s="570">
        <v>0</v>
      </c>
    </row>
    <row r="57" spans="1:5" outlineLevel="2">
      <c r="A57" s="824"/>
      <c r="B57" s="825"/>
      <c r="C57" s="825"/>
      <c r="D57" s="64" t="s">
        <v>26</v>
      </c>
      <c r="E57" s="571">
        <v>0</v>
      </c>
    </row>
    <row r="58" spans="1:5" outlineLevel="2">
      <c r="A58" s="824"/>
      <c r="B58" s="825"/>
      <c r="C58" s="825"/>
      <c r="D58" s="64" t="s">
        <v>27</v>
      </c>
      <c r="E58" s="571">
        <v>0</v>
      </c>
    </row>
    <row r="59" spans="1:5" outlineLevel="2">
      <c r="A59" s="824"/>
      <c r="B59" s="825"/>
      <c r="C59" s="825"/>
      <c r="D59" s="64" t="s">
        <v>28</v>
      </c>
      <c r="E59" s="571">
        <v>0</v>
      </c>
    </row>
    <row r="60" spans="1:5" outlineLevel="2">
      <c r="A60" s="824"/>
      <c r="B60" s="825"/>
      <c r="C60" s="825"/>
      <c r="D60" s="64" t="s">
        <v>29</v>
      </c>
      <c r="E60" s="571">
        <v>0</v>
      </c>
    </row>
    <row r="61" spans="1:5" outlineLevel="2">
      <c r="A61" s="824"/>
      <c r="B61" s="825"/>
      <c r="C61" s="825"/>
      <c r="D61" s="64" t="s">
        <v>30</v>
      </c>
      <c r="E61" s="571">
        <v>0</v>
      </c>
    </row>
    <row r="62" spans="1:5" outlineLevel="2">
      <c r="A62" s="824"/>
      <c r="B62" s="825"/>
      <c r="C62" s="825"/>
      <c r="D62" s="64" t="s">
        <v>31</v>
      </c>
      <c r="E62" s="571">
        <v>0</v>
      </c>
    </row>
    <row r="63" spans="1:5" outlineLevel="2">
      <c r="A63" s="824"/>
      <c r="B63" s="825"/>
      <c r="C63" s="825"/>
      <c r="D63" s="64" t="s">
        <v>32</v>
      </c>
      <c r="E63" s="571">
        <v>0</v>
      </c>
    </row>
    <row r="64" spans="1:5" outlineLevel="2">
      <c r="A64" s="824"/>
      <c r="B64" s="825"/>
      <c r="C64" s="825"/>
      <c r="D64" s="64" t="s">
        <v>33</v>
      </c>
      <c r="E64" s="571">
        <v>0</v>
      </c>
    </row>
    <row r="65" spans="1:5" ht="15.75" outlineLevel="2" thickBot="1">
      <c r="A65" s="824"/>
      <c r="B65" s="825"/>
      <c r="C65" s="825"/>
      <c r="D65" s="65" t="s">
        <v>34</v>
      </c>
      <c r="E65" s="572">
        <v>0</v>
      </c>
    </row>
    <row r="66" spans="1:5" outlineLevel="2">
      <c r="A66" s="824" t="s">
        <v>75</v>
      </c>
      <c r="B66" s="825" t="s">
        <v>76</v>
      </c>
      <c r="C66" s="825">
        <v>637040</v>
      </c>
      <c r="D66" s="63" t="s">
        <v>25</v>
      </c>
      <c r="E66" s="571">
        <v>0</v>
      </c>
    </row>
    <row r="67" spans="1:5" outlineLevel="2">
      <c r="A67" s="824"/>
      <c r="B67" s="825"/>
      <c r="C67" s="825"/>
      <c r="D67" s="64" t="s">
        <v>26</v>
      </c>
      <c r="E67" s="571">
        <v>0</v>
      </c>
    </row>
    <row r="68" spans="1:5" outlineLevel="2">
      <c r="A68" s="824"/>
      <c r="B68" s="825"/>
      <c r="C68" s="825"/>
      <c r="D68" s="64" t="s">
        <v>27</v>
      </c>
      <c r="E68" s="571">
        <v>0</v>
      </c>
    </row>
    <row r="69" spans="1:5" outlineLevel="2">
      <c r="A69" s="824"/>
      <c r="B69" s="825"/>
      <c r="C69" s="825"/>
      <c r="D69" s="64" t="s">
        <v>28</v>
      </c>
      <c r="E69" s="571">
        <v>0</v>
      </c>
    </row>
    <row r="70" spans="1:5" outlineLevel="2">
      <c r="A70" s="824"/>
      <c r="B70" s="825"/>
      <c r="C70" s="825"/>
      <c r="D70" s="64" t="s">
        <v>29</v>
      </c>
      <c r="E70" s="571">
        <v>0</v>
      </c>
    </row>
    <row r="71" spans="1:5" outlineLevel="2">
      <c r="A71" s="824"/>
      <c r="B71" s="825"/>
      <c r="C71" s="825"/>
      <c r="D71" s="64" t="s">
        <v>30</v>
      </c>
      <c r="E71" s="571">
        <v>0</v>
      </c>
    </row>
    <row r="72" spans="1:5" outlineLevel="2">
      <c r="A72" s="824"/>
      <c r="B72" s="825"/>
      <c r="C72" s="825"/>
      <c r="D72" s="64" t="s">
        <v>31</v>
      </c>
      <c r="E72" s="571">
        <v>0</v>
      </c>
    </row>
    <row r="73" spans="1:5" outlineLevel="2">
      <c r="A73" s="824"/>
      <c r="B73" s="825"/>
      <c r="C73" s="825"/>
      <c r="D73" s="64" t="s">
        <v>32</v>
      </c>
      <c r="E73" s="571">
        <v>0</v>
      </c>
    </row>
    <row r="74" spans="1:5" outlineLevel="2">
      <c r="A74" s="824"/>
      <c r="B74" s="825"/>
      <c r="C74" s="825"/>
      <c r="D74" s="64" t="s">
        <v>33</v>
      </c>
      <c r="E74" s="571">
        <v>0</v>
      </c>
    </row>
    <row r="75" spans="1:5" ht="15.75" outlineLevel="2" thickBot="1">
      <c r="A75" s="824"/>
      <c r="B75" s="825"/>
      <c r="C75" s="825"/>
      <c r="D75" s="65" t="s">
        <v>34</v>
      </c>
      <c r="E75" s="572">
        <v>0</v>
      </c>
    </row>
  </sheetData>
  <mergeCells count="23">
    <mergeCell ref="A1:D1"/>
    <mergeCell ref="A3:C3"/>
    <mergeCell ref="A5:A14"/>
    <mergeCell ref="B5:B14"/>
    <mergeCell ref="C5:C14"/>
    <mergeCell ref="A15:A24"/>
    <mergeCell ref="B15:B24"/>
    <mergeCell ref="C15:C24"/>
    <mergeCell ref="A26:A35"/>
    <mergeCell ref="B26:B35"/>
    <mergeCell ref="C26:C35"/>
    <mergeCell ref="A36:A45"/>
    <mergeCell ref="B36:B45"/>
    <mergeCell ref="C36:C45"/>
    <mergeCell ref="A46:A55"/>
    <mergeCell ref="B46:B55"/>
    <mergeCell ref="C46:C55"/>
    <mergeCell ref="A56:A65"/>
    <mergeCell ref="B56:B65"/>
    <mergeCell ref="C56:C65"/>
    <mergeCell ref="A66:A75"/>
    <mergeCell ref="B66:B75"/>
    <mergeCell ref="C66:C75"/>
  </mergeCells>
  <pageMargins left="0.7" right="0.7" top="0.75" bottom="0.75" header="0.3" footer="0.3"/>
  <pageSetup paperSize="9" scale="66"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árok11">
    <tabColor rgb="FFFFFF00"/>
    <outlinePr summaryBelow="0" summaryRight="0"/>
  </sheetPr>
  <dimension ref="A1:E53"/>
  <sheetViews>
    <sheetView view="pageBreakPreview" zoomScale="90" zoomScaleNormal="85" zoomScaleSheetLayoutView="90" workbookViewId="0">
      <selection activeCell="G6" sqref="G6"/>
    </sheetView>
  </sheetViews>
  <sheetFormatPr defaultColWidth="8.7109375" defaultRowHeight="15" outlineLevelRow="1"/>
  <cols>
    <col min="1" max="1" width="22.42578125" customWidth="1"/>
    <col min="2" max="2" width="23.28515625" customWidth="1"/>
    <col min="3" max="3" width="22.42578125" customWidth="1"/>
    <col min="5" max="5" width="17.7109375" customWidth="1"/>
  </cols>
  <sheetData>
    <row r="1" spans="1:5" ht="25.15" customHeight="1" thickBot="1">
      <c r="A1" s="826" t="s">
        <v>95</v>
      </c>
      <c r="B1" s="826"/>
      <c r="C1" s="826"/>
      <c r="D1" s="827"/>
      <c r="E1" s="66" t="s">
        <v>35</v>
      </c>
    </row>
    <row r="2" spans="1:5" ht="15.75" thickBot="1">
      <c r="A2" s="36" t="s">
        <v>0</v>
      </c>
      <c r="B2" s="70" t="s">
        <v>73</v>
      </c>
      <c r="C2" s="70" t="s">
        <v>72</v>
      </c>
      <c r="D2" s="70" t="s">
        <v>23</v>
      </c>
      <c r="E2" s="17"/>
    </row>
    <row r="3" spans="1:5" ht="15.75" thickBot="1">
      <c r="A3" s="830" t="s">
        <v>86</v>
      </c>
      <c r="B3" s="830"/>
      <c r="C3" s="830"/>
      <c r="D3" s="71"/>
      <c r="E3" s="72">
        <f>SUM(E4:E53)</f>
        <v>416000</v>
      </c>
    </row>
    <row r="4" spans="1:5" outlineLevel="1">
      <c r="A4" s="824" t="s">
        <v>91</v>
      </c>
      <c r="B4" s="825" t="s">
        <v>79</v>
      </c>
      <c r="C4" s="825">
        <v>635002</v>
      </c>
      <c r="D4" s="63" t="s">
        <v>25</v>
      </c>
      <c r="E4" s="570">
        <v>41600</v>
      </c>
    </row>
    <row r="5" spans="1:5" outlineLevel="1">
      <c r="A5" s="824"/>
      <c r="B5" s="825"/>
      <c r="C5" s="825"/>
      <c r="D5" s="64" t="s">
        <v>26</v>
      </c>
      <c r="E5" s="571">
        <v>41600</v>
      </c>
    </row>
    <row r="6" spans="1:5" outlineLevel="1">
      <c r="A6" s="824"/>
      <c r="B6" s="825"/>
      <c r="C6" s="825"/>
      <c r="D6" s="64" t="s">
        <v>27</v>
      </c>
      <c r="E6" s="571">
        <v>41600</v>
      </c>
    </row>
    <row r="7" spans="1:5" outlineLevel="1">
      <c r="A7" s="824"/>
      <c r="B7" s="825"/>
      <c r="C7" s="825"/>
      <c r="D7" s="64" t="s">
        <v>28</v>
      </c>
      <c r="E7" s="571">
        <v>41600</v>
      </c>
    </row>
    <row r="8" spans="1:5" outlineLevel="1">
      <c r="A8" s="824"/>
      <c r="B8" s="825"/>
      <c r="C8" s="825"/>
      <c r="D8" s="64" t="s">
        <v>29</v>
      </c>
      <c r="E8" s="571">
        <v>41600</v>
      </c>
    </row>
    <row r="9" spans="1:5" outlineLevel="1">
      <c r="A9" s="824"/>
      <c r="B9" s="825"/>
      <c r="C9" s="825"/>
      <c r="D9" s="64" t="s">
        <v>30</v>
      </c>
      <c r="E9" s="571">
        <v>41600</v>
      </c>
    </row>
    <row r="10" spans="1:5" outlineLevel="1">
      <c r="A10" s="824"/>
      <c r="B10" s="825"/>
      <c r="C10" s="825"/>
      <c r="D10" s="64" t="s">
        <v>31</v>
      </c>
      <c r="E10" s="571">
        <v>41600</v>
      </c>
    </row>
    <row r="11" spans="1:5" outlineLevel="1">
      <c r="A11" s="824"/>
      <c r="B11" s="825"/>
      <c r="C11" s="825"/>
      <c r="D11" s="64" t="s">
        <v>32</v>
      </c>
      <c r="E11" s="571">
        <v>41600</v>
      </c>
    </row>
    <row r="12" spans="1:5" outlineLevel="1">
      <c r="A12" s="824"/>
      <c r="B12" s="825"/>
      <c r="C12" s="825"/>
      <c r="D12" s="64" t="s">
        <v>33</v>
      </c>
      <c r="E12" s="571">
        <v>41600</v>
      </c>
    </row>
    <row r="13" spans="1:5" ht="15.75" outlineLevel="1" thickBot="1">
      <c r="A13" s="824"/>
      <c r="B13" s="825"/>
      <c r="C13" s="825"/>
      <c r="D13" s="65" t="s">
        <v>34</v>
      </c>
      <c r="E13" s="572">
        <v>41600</v>
      </c>
    </row>
    <row r="14" spans="1:5" outlineLevel="1">
      <c r="A14" s="824" t="s">
        <v>92</v>
      </c>
      <c r="B14" s="824" t="s">
        <v>90</v>
      </c>
      <c r="C14" s="825">
        <v>718002</v>
      </c>
      <c r="D14" s="63" t="s">
        <v>25</v>
      </c>
      <c r="E14" s="571">
        <v>0</v>
      </c>
    </row>
    <row r="15" spans="1:5" outlineLevel="1">
      <c r="A15" s="824"/>
      <c r="B15" s="825"/>
      <c r="C15" s="825"/>
      <c r="D15" s="64" t="s">
        <v>26</v>
      </c>
      <c r="E15" s="571">
        <v>0</v>
      </c>
    </row>
    <row r="16" spans="1:5" outlineLevel="1">
      <c r="A16" s="824"/>
      <c r="B16" s="825"/>
      <c r="C16" s="825"/>
      <c r="D16" s="64" t="s">
        <v>27</v>
      </c>
      <c r="E16" s="571">
        <v>0</v>
      </c>
    </row>
    <row r="17" spans="1:5" outlineLevel="1">
      <c r="A17" s="824"/>
      <c r="B17" s="825"/>
      <c r="C17" s="825"/>
      <c r="D17" s="64" t="s">
        <v>28</v>
      </c>
      <c r="E17" s="571">
        <v>0</v>
      </c>
    </row>
    <row r="18" spans="1:5" outlineLevel="1">
      <c r="A18" s="824"/>
      <c r="B18" s="825"/>
      <c r="C18" s="825"/>
      <c r="D18" s="64" t="s">
        <v>29</v>
      </c>
      <c r="E18" s="571">
        <v>0</v>
      </c>
    </row>
    <row r="19" spans="1:5" outlineLevel="1">
      <c r="A19" s="824"/>
      <c r="B19" s="825"/>
      <c r="C19" s="825"/>
      <c r="D19" s="64" t="s">
        <v>30</v>
      </c>
      <c r="E19" s="571">
        <v>0</v>
      </c>
    </row>
    <row r="20" spans="1:5" outlineLevel="1">
      <c r="A20" s="824"/>
      <c r="B20" s="825"/>
      <c r="C20" s="825"/>
      <c r="D20" s="64" t="s">
        <v>31</v>
      </c>
      <c r="E20" s="571">
        <v>0</v>
      </c>
    </row>
    <row r="21" spans="1:5" outlineLevel="1">
      <c r="A21" s="824"/>
      <c r="B21" s="825"/>
      <c r="C21" s="825"/>
      <c r="D21" s="64" t="s">
        <v>32</v>
      </c>
      <c r="E21" s="571">
        <v>0</v>
      </c>
    </row>
    <row r="22" spans="1:5" outlineLevel="1">
      <c r="A22" s="824"/>
      <c r="B22" s="825"/>
      <c r="C22" s="825"/>
      <c r="D22" s="64" t="s">
        <v>33</v>
      </c>
      <c r="E22" s="571">
        <v>0</v>
      </c>
    </row>
    <row r="23" spans="1:5" ht="15.75" outlineLevel="1" thickBot="1">
      <c r="A23" s="824"/>
      <c r="B23" s="825"/>
      <c r="C23" s="825"/>
      <c r="D23" s="65" t="s">
        <v>34</v>
      </c>
      <c r="E23" s="572">
        <v>0</v>
      </c>
    </row>
    <row r="24" spans="1:5" outlineLevel="1">
      <c r="A24" s="824" t="s">
        <v>93</v>
      </c>
      <c r="B24" s="825"/>
      <c r="C24" s="825"/>
      <c r="D24" s="63" t="s">
        <v>25</v>
      </c>
      <c r="E24" s="571">
        <v>0</v>
      </c>
    </row>
    <row r="25" spans="1:5" outlineLevel="1">
      <c r="A25" s="824"/>
      <c r="B25" s="825"/>
      <c r="C25" s="825"/>
      <c r="D25" s="64" t="s">
        <v>26</v>
      </c>
      <c r="E25" s="571">
        <v>0</v>
      </c>
    </row>
    <row r="26" spans="1:5" outlineLevel="1">
      <c r="A26" s="824"/>
      <c r="B26" s="825"/>
      <c r="C26" s="825"/>
      <c r="D26" s="64" t="s">
        <v>27</v>
      </c>
      <c r="E26" s="571">
        <v>0</v>
      </c>
    </row>
    <row r="27" spans="1:5" outlineLevel="1">
      <c r="A27" s="824"/>
      <c r="B27" s="825"/>
      <c r="C27" s="825"/>
      <c r="D27" s="64" t="s">
        <v>28</v>
      </c>
      <c r="E27" s="571">
        <v>0</v>
      </c>
    </row>
    <row r="28" spans="1:5" outlineLevel="1">
      <c r="A28" s="824"/>
      <c r="B28" s="825"/>
      <c r="C28" s="825"/>
      <c r="D28" s="64" t="s">
        <v>29</v>
      </c>
      <c r="E28" s="571">
        <v>0</v>
      </c>
    </row>
    <row r="29" spans="1:5" outlineLevel="1">
      <c r="A29" s="824"/>
      <c r="B29" s="825"/>
      <c r="C29" s="825"/>
      <c r="D29" s="64" t="s">
        <v>30</v>
      </c>
      <c r="E29" s="571">
        <v>0</v>
      </c>
    </row>
    <row r="30" spans="1:5" outlineLevel="1">
      <c r="A30" s="824"/>
      <c r="B30" s="825"/>
      <c r="C30" s="825"/>
      <c r="D30" s="64" t="s">
        <v>31</v>
      </c>
      <c r="E30" s="571">
        <v>0</v>
      </c>
    </row>
    <row r="31" spans="1:5" outlineLevel="1">
      <c r="A31" s="824"/>
      <c r="B31" s="825"/>
      <c r="C31" s="825"/>
      <c r="D31" s="64" t="s">
        <v>32</v>
      </c>
      <c r="E31" s="571">
        <v>0</v>
      </c>
    </row>
    <row r="32" spans="1:5" outlineLevel="1">
      <c r="A32" s="824"/>
      <c r="B32" s="825"/>
      <c r="C32" s="825"/>
      <c r="D32" s="64" t="s">
        <v>33</v>
      </c>
      <c r="E32" s="571">
        <v>0</v>
      </c>
    </row>
    <row r="33" spans="1:5" ht="15.75" outlineLevel="1" thickBot="1">
      <c r="A33" s="824"/>
      <c r="B33" s="825"/>
      <c r="C33" s="825"/>
      <c r="D33" s="65" t="s">
        <v>34</v>
      </c>
      <c r="E33" s="572">
        <v>0</v>
      </c>
    </row>
    <row r="34" spans="1:5" outlineLevel="1">
      <c r="A34" s="824" t="s">
        <v>94</v>
      </c>
      <c r="B34" s="825" t="s">
        <v>529</v>
      </c>
      <c r="C34" s="825">
        <v>610</v>
      </c>
      <c r="D34" s="63" t="s">
        <v>25</v>
      </c>
      <c r="E34" s="571">
        <v>0</v>
      </c>
    </row>
    <row r="35" spans="1:5" outlineLevel="1">
      <c r="A35" s="824"/>
      <c r="B35" s="825"/>
      <c r="C35" s="825"/>
      <c r="D35" s="64" t="s">
        <v>26</v>
      </c>
      <c r="E35" s="571">
        <v>0</v>
      </c>
    </row>
    <row r="36" spans="1:5" outlineLevel="1">
      <c r="A36" s="824"/>
      <c r="B36" s="825"/>
      <c r="C36" s="825"/>
      <c r="D36" s="64" t="s">
        <v>27</v>
      </c>
      <c r="E36" s="571">
        <v>0</v>
      </c>
    </row>
    <row r="37" spans="1:5" outlineLevel="1">
      <c r="A37" s="824"/>
      <c r="B37" s="825"/>
      <c r="C37" s="825"/>
      <c r="D37" s="64" t="s">
        <v>28</v>
      </c>
      <c r="E37" s="571">
        <v>0</v>
      </c>
    </row>
    <row r="38" spans="1:5" outlineLevel="1">
      <c r="A38" s="824"/>
      <c r="B38" s="825"/>
      <c r="C38" s="825"/>
      <c r="D38" s="64" t="s">
        <v>29</v>
      </c>
      <c r="E38" s="571">
        <v>0</v>
      </c>
    </row>
    <row r="39" spans="1:5" outlineLevel="1">
      <c r="A39" s="824"/>
      <c r="B39" s="825"/>
      <c r="C39" s="825"/>
      <c r="D39" s="64" t="s">
        <v>30</v>
      </c>
      <c r="E39" s="571">
        <v>0</v>
      </c>
    </row>
    <row r="40" spans="1:5" outlineLevel="1">
      <c r="A40" s="824"/>
      <c r="B40" s="825"/>
      <c r="C40" s="825"/>
      <c r="D40" s="64" t="s">
        <v>31</v>
      </c>
      <c r="E40" s="571">
        <v>0</v>
      </c>
    </row>
    <row r="41" spans="1:5" outlineLevel="1">
      <c r="A41" s="824"/>
      <c r="B41" s="825"/>
      <c r="C41" s="825"/>
      <c r="D41" s="64" t="s">
        <v>32</v>
      </c>
      <c r="E41" s="571">
        <v>0</v>
      </c>
    </row>
    <row r="42" spans="1:5" outlineLevel="1">
      <c r="A42" s="824"/>
      <c r="B42" s="825"/>
      <c r="C42" s="825"/>
      <c r="D42" s="64" t="s">
        <v>33</v>
      </c>
      <c r="E42" s="571">
        <v>0</v>
      </c>
    </row>
    <row r="43" spans="1:5" ht="15.75" outlineLevel="1" thickBot="1">
      <c r="A43" s="824"/>
      <c r="B43" s="825"/>
      <c r="C43" s="825"/>
      <c r="D43" s="65" t="s">
        <v>34</v>
      </c>
      <c r="E43" s="572">
        <v>0</v>
      </c>
    </row>
    <row r="44" spans="1:5" outlineLevel="1">
      <c r="A44" s="824" t="s">
        <v>89</v>
      </c>
      <c r="B44" s="825" t="s">
        <v>76</v>
      </c>
      <c r="C44" s="825">
        <v>637040</v>
      </c>
      <c r="D44" s="63" t="s">
        <v>25</v>
      </c>
      <c r="E44" s="571">
        <v>0</v>
      </c>
    </row>
    <row r="45" spans="1:5" outlineLevel="1">
      <c r="A45" s="824"/>
      <c r="B45" s="825"/>
      <c r="C45" s="825"/>
      <c r="D45" s="64" t="s">
        <v>26</v>
      </c>
      <c r="E45" s="571">
        <v>0</v>
      </c>
    </row>
    <row r="46" spans="1:5" outlineLevel="1">
      <c r="A46" s="824"/>
      <c r="B46" s="825"/>
      <c r="C46" s="825"/>
      <c r="D46" s="64" t="s">
        <v>27</v>
      </c>
      <c r="E46" s="571">
        <v>0</v>
      </c>
    </row>
    <row r="47" spans="1:5" outlineLevel="1">
      <c r="A47" s="824"/>
      <c r="B47" s="825"/>
      <c r="C47" s="825"/>
      <c r="D47" s="64" t="s">
        <v>28</v>
      </c>
      <c r="E47" s="571">
        <v>0</v>
      </c>
    </row>
    <row r="48" spans="1:5" outlineLevel="1">
      <c r="A48" s="824"/>
      <c r="B48" s="825"/>
      <c r="C48" s="825"/>
      <c r="D48" s="64" t="s">
        <v>29</v>
      </c>
      <c r="E48" s="571">
        <v>0</v>
      </c>
    </row>
    <row r="49" spans="1:5" outlineLevel="1">
      <c r="A49" s="824"/>
      <c r="B49" s="825"/>
      <c r="C49" s="825"/>
      <c r="D49" s="64" t="s">
        <v>30</v>
      </c>
      <c r="E49" s="571">
        <v>0</v>
      </c>
    </row>
    <row r="50" spans="1:5" outlineLevel="1">
      <c r="A50" s="824"/>
      <c r="B50" s="825"/>
      <c r="C50" s="825"/>
      <c r="D50" s="64" t="s">
        <v>31</v>
      </c>
      <c r="E50" s="571">
        <v>0</v>
      </c>
    </row>
    <row r="51" spans="1:5" outlineLevel="1">
      <c r="A51" s="824"/>
      <c r="B51" s="825"/>
      <c r="C51" s="825"/>
      <c r="D51" s="64" t="s">
        <v>32</v>
      </c>
      <c r="E51" s="571">
        <v>0</v>
      </c>
    </row>
    <row r="52" spans="1:5" outlineLevel="1">
      <c r="A52" s="824"/>
      <c r="B52" s="825"/>
      <c r="C52" s="825"/>
      <c r="D52" s="64" t="s">
        <v>33</v>
      </c>
      <c r="E52" s="571">
        <v>0</v>
      </c>
    </row>
    <row r="53" spans="1:5" ht="15.75" outlineLevel="1" thickBot="1">
      <c r="A53" s="824"/>
      <c r="B53" s="825"/>
      <c r="C53" s="825"/>
      <c r="D53" s="65" t="s">
        <v>34</v>
      </c>
      <c r="E53" s="572">
        <v>0</v>
      </c>
    </row>
  </sheetData>
  <mergeCells count="17">
    <mergeCell ref="A1:D1"/>
    <mergeCell ref="A3:C3"/>
    <mergeCell ref="A4:A13"/>
    <mergeCell ref="B4:B13"/>
    <mergeCell ref="C4:C13"/>
    <mergeCell ref="A14:A23"/>
    <mergeCell ref="B14:B23"/>
    <mergeCell ref="C14:C23"/>
    <mergeCell ref="A24:A33"/>
    <mergeCell ref="B24:B33"/>
    <mergeCell ref="C24:C33"/>
    <mergeCell ref="A34:A43"/>
    <mergeCell ref="B34:B43"/>
    <mergeCell ref="C34:C43"/>
    <mergeCell ref="A44:A53"/>
    <mergeCell ref="B44:B53"/>
    <mergeCell ref="C44:C53"/>
  </mergeCells>
  <pageMargins left="0.7" right="0.7" top="0.75" bottom="0.75" header="0.3" footer="0.3"/>
  <pageSetup paperSize="9" scale="92"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árok12">
    <tabColor rgb="FFFFFF00"/>
    <outlinePr summaryBelow="0" summaryRight="0"/>
  </sheetPr>
  <dimension ref="A1:AA191"/>
  <sheetViews>
    <sheetView zoomScaleNormal="70" workbookViewId="0">
      <pane xSplit="3" ySplit="5" topLeftCell="D74" activePane="bottomRight" state="frozen"/>
      <selection activeCell="G18" sqref="G18"/>
      <selection pane="topRight" activeCell="G18" sqref="G18"/>
      <selection pane="bottomLeft" activeCell="G18" sqref="G18"/>
      <selection pane="bottomRight" activeCell="E110" sqref="E110:F110"/>
    </sheetView>
  </sheetViews>
  <sheetFormatPr defaultColWidth="8.7109375" defaultRowHeight="15" outlineLevelRow="2" outlineLevelCol="1"/>
  <cols>
    <col min="1" max="1" width="22.42578125" customWidth="1"/>
    <col min="2" max="2" width="23.28515625" customWidth="1"/>
    <col min="3" max="3" width="22.42578125" customWidth="1"/>
    <col min="5" max="5" width="17.7109375" customWidth="1"/>
    <col min="6" max="26" width="18" customWidth="1" outlineLevel="1"/>
  </cols>
  <sheetData>
    <row r="1" spans="1:26" ht="26.25">
      <c r="A1" s="836"/>
      <c r="B1" s="836"/>
      <c r="C1" s="836"/>
      <c r="D1" s="836"/>
      <c r="F1" s="833" t="s">
        <v>294</v>
      </c>
      <c r="G1" s="833"/>
      <c r="H1" s="833"/>
      <c r="I1" s="833"/>
      <c r="J1" s="833"/>
      <c r="K1" s="833"/>
      <c r="L1" s="833"/>
      <c r="M1" s="833"/>
      <c r="N1" s="833"/>
      <c r="O1" s="833"/>
      <c r="P1" s="833"/>
      <c r="Q1" s="833"/>
      <c r="R1" s="833"/>
      <c r="S1" s="833"/>
      <c r="T1" s="833"/>
      <c r="U1" s="833"/>
      <c r="V1" s="833"/>
      <c r="W1" s="833"/>
      <c r="X1" s="833"/>
      <c r="Y1" s="833"/>
      <c r="Z1" s="833"/>
    </row>
    <row r="2" spans="1:26" ht="45.75" thickBot="1">
      <c r="A2" s="826" t="s">
        <v>96</v>
      </c>
      <c r="B2" s="826"/>
      <c r="C2" s="826"/>
      <c r="D2" s="827"/>
      <c r="E2" s="66" t="s">
        <v>35</v>
      </c>
      <c r="F2" s="573" t="str">
        <f>MODULY_CBA!$B3</f>
        <v>Centrálny informačný systém na riadenie IT aktív</v>
      </c>
      <c r="G2" s="573" t="str">
        <f>MODULY_CBA!$B4</f>
        <v>Snow Risk Monitor</v>
      </c>
      <c r="H2" s="573" t="str">
        <f>MODULY_CBA!$B5</f>
        <v>BizzDesign / APM</v>
      </c>
      <c r="I2" s="573" t="str">
        <f>MODULY_CBA!$B6</f>
        <v>FinOps platforma</v>
      </c>
      <c r="J2" s="573">
        <f>MODULY_CBA!$B7</f>
        <v>0</v>
      </c>
      <c r="K2" s="573">
        <f>MODULY_CBA!$B8</f>
        <v>0</v>
      </c>
      <c r="L2" s="573">
        <f>MODULY_CBA!$B9</f>
        <v>0</v>
      </c>
      <c r="M2" s="573">
        <f>MODULY_CBA!$B10</f>
        <v>0</v>
      </c>
      <c r="N2" s="573">
        <f>MODULY_CBA!$B11</f>
        <v>0</v>
      </c>
      <c r="O2" s="573">
        <f>MODULY_CBA!$B12</f>
        <v>0</v>
      </c>
      <c r="P2" s="573">
        <f>MODULY_CBA!$B13</f>
        <v>0</v>
      </c>
      <c r="Q2" s="573">
        <f>MODULY_CBA!$B14</f>
        <v>0</v>
      </c>
      <c r="R2" s="573">
        <f>MODULY_CBA!$B15</f>
        <v>0</v>
      </c>
      <c r="S2" s="573">
        <f>MODULY_CBA!$B16</f>
        <v>0</v>
      </c>
      <c r="T2" s="573">
        <f>MODULY_CBA!$B17</f>
        <v>0</v>
      </c>
      <c r="U2" s="573">
        <f>MODULY_CBA!$B18</f>
        <v>0</v>
      </c>
      <c r="V2" s="573">
        <f>MODULY_CBA!$B19</f>
        <v>0</v>
      </c>
      <c r="W2" s="573">
        <f>MODULY_CBA!$B20</f>
        <v>0</v>
      </c>
      <c r="X2" s="573">
        <f>MODULY_CBA!$B21</f>
        <v>0</v>
      </c>
      <c r="Y2" s="573">
        <f>MODULY_CBA!$B22</f>
        <v>0</v>
      </c>
      <c r="Z2" s="573">
        <f>MODULY_CBA!$B23</f>
        <v>0</v>
      </c>
    </row>
    <row r="3" spans="1:26" ht="15.75" thickBot="1">
      <c r="A3" s="36" t="s">
        <v>0</v>
      </c>
      <c r="B3" s="70" t="s">
        <v>73</v>
      </c>
      <c r="C3" s="70" t="s">
        <v>72</v>
      </c>
      <c r="D3" s="70" t="s">
        <v>23</v>
      </c>
      <c r="E3" s="17"/>
      <c r="F3" s="17"/>
      <c r="G3" s="17"/>
      <c r="H3" s="17"/>
      <c r="I3" s="17"/>
      <c r="J3" s="17"/>
      <c r="K3" s="17"/>
      <c r="L3" s="17"/>
      <c r="M3" s="17"/>
      <c r="N3" s="17"/>
      <c r="O3" s="17"/>
      <c r="P3" s="17"/>
      <c r="Q3" s="17"/>
      <c r="R3" s="17"/>
      <c r="S3" s="17"/>
      <c r="T3" s="17"/>
      <c r="U3" s="17"/>
      <c r="V3" s="17"/>
      <c r="W3" s="17"/>
      <c r="X3" s="17"/>
      <c r="Y3" s="17"/>
      <c r="Z3" s="17"/>
    </row>
    <row r="4" spans="1:26" ht="15.75" thickBot="1">
      <c r="A4" s="834" t="s">
        <v>114</v>
      </c>
      <c r="B4" s="835"/>
      <c r="C4" s="835"/>
      <c r="D4" s="74"/>
      <c r="E4" s="72">
        <f t="shared" ref="E4:F4" si="0">E5+E36</f>
        <v>15089738.703499999</v>
      </c>
      <c r="F4" s="73">
        <f t="shared" si="0"/>
        <v>9330251.3604224995</v>
      </c>
      <c r="G4" s="73">
        <f t="shared" ref="G4:Z4" si="1">G5+G36</f>
        <v>828506.50398624991</v>
      </c>
      <c r="H4" s="73">
        <f t="shared" si="1"/>
        <v>4397542.5039862497</v>
      </c>
      <c r="I4" s="73">
        <f t="shared" si="1"/>
        <v>533438.33510500006</v>
      </c>
      <c r="J4" s="73">
        <f t="shared" si="1"/>
        <v>0</v>
      </c>
      <c r="K4" s="73">
        <f t="shared" si="1"/>
        <v>0</v>
      </c>
      <c r="L4" s="73">
        <f t="shared" si="1"/>
        <v>0</v>
      </c>
      <c r="M4" s="73">
        <f t="shared" si="1"/>
        <v>0</v>
      </c>
      <c r="N4" s="73">
        <f t="shared" si="1"/>
        <v>0</v>
      </c>
      <c r="O4" s="73">
        <f t="shared" si="1"/>
        <v>0</v>
      </c>
      <c r="P4" s="73">
        <f t="shared" si="1"/>
        <v>0</v>
      </c>
      <c r="Q4" s="73">
        <f t="shared" si="1"/>
        <v>0</v>
      </c>
      <c r="R4" s="73">
        <f t="shared" si="1"/>
        <v>0</v>
      </c>
      <c r="S4" s="73">
        <f t="shared" si="1"/>
        <v>0</v>
      </c>
      <c r="T4" s="73">
        <f t="shared" si="1"/>
        <v>0</v>
      </c>
      <c r="U4" s="73">
        <f t="shared" si="1"/>
        <v>0</v>
      </c>
      <c r="V4" s="73">
        <f t="shared" si="1"/>
        <v>0</v>
      </c>
      <c r="W4" s="73">
        <f t="shared" si="1"/>
        <v>0</v>
      </c>
      <c r="X4" s="73">
        <f t="shared" si="1"/>
        <v>0</v>
      </c>
      <c r="Y4" s="73">
        <f t="shared" si="1"/>
        <v>0</v>
      </c>
      <c r="Z4" s="73">
        <f t="shared" si="1"/>
        <v>0</v>
      </c>
    </row>
    <row r="5" spans="1:26" ht="15.75" outlineLevel="1" thickBot="1">
      <c r="A5" s="17" t="s">
        <v>103</v>
      </c>
      <c r="B5" s="17"/>
      <c r="C5" s="17"/>
      <c r="D5" s="27"/>
      <c r="E5" s="72">
        <f t="shared" ref="E5:F5" si="2">SUM(E6:E35)</f>
        <v>4164919.1999999997</v>
      </c>
      <c r="F5" s="73">
        <f t="shared" si="2"/>
        <v>3693919.1999999997</v>
      </c>
      <c r="G5" s="73">
        <f t="shared" ref="G5:Z5" si="3">SUM(G6:G35)</f>
        <v>450000</v>
      </c>
      <c r="H5" s="73">
        <f t="shared" si="3"/>
        <v>0</v>
      </c>
      <c r="I5" s="73">
        <f t="shared" si="3"/>
        <v>21000</v>
      </c>
      <c r="J5" s="73">
        <f t="shared" si="3"/>
        <v>0</v>
      </c>
      <c r="K5" s="73">
        <f t="shared" si="3"/>
        <v>0</v>
      </c>
      <c r="L5" s="73">
        <f t="shared" si="3"/>
        <v>0</v>
      </c>
      <c r="M5" s="73">
        <f t="shared" si="3"/>
        <v>0</v>
      </c>
      <c r="N5" s="73">
        <f t="shared" si="3"/>
        <v>0</v>
      </c>
      <c r="O5" s="73">
        <f t="shared" si="3"/>
        <v>0</v>
      </c>
      <c r="P5" s="73">
        <f t="shared" si="3"/>
        <v>0</v>
      </c>
      <c r="Q5" s="73">
        <f t="shared" si="3"/>
        <v>0</v>
      </c>
      <c r="R5" s="73">
        <f t="shared" si="3"/>
        <v>0</v>
      </c>
      <c r="S5" s="73">
        <f t="shared" si="3"/>
        <v>0</v>
      </c>
      <c r="T5" s="73">
        <f t="shared" si="3"/>
        <v>0</v>
      </c>
      <c r="U5" s="73">
        <f t="shared" si="3"/>
        <v>0</v>
      </c>
      <c r="V5" s="73">
        <f t="shared" si="3"/>
        <v>0</v>
      </c>
      <c r="W5" s="73">
        <f t="shared" si="3"/>
        <v>0</v>
      </c>
      <c r="X5" s="73">
        <f t="shared" si="3"/>
        <v>0</v>
      </c>
      <c r="Y5" s="73">
        <f t="shared" si="3"/>
        <v>0</v>
      </c>
      <c r="Z5" s="73">
        <f t="shared" si="3"/>
        <v>0</v>
      </c>
    </row>
    <row r="6" spans="1:26" outlineLevel="2">
      <c r="A6" s="824" t="s">
        <v>70</v>
      </c>
      <c r="B6" s="825" t="s">
        <v>71</v>
      </c>
      <c r="C6" s="825">
        <v>711003</v>
      </c>
      <c r="D6" s="63">
        <v>1</v>
      </c>
      <c r="E6" s="60">
        <f>SUM(F6:Z6)</f>
        <v>948306.4</v>
      </c>
      <c r="F6" s="671">
        <f>SUM('Rozpočet - HW a licencie'!I4,'Rozpočet - HW a licencie'!I5,'Rozpočet - HW a licencie'!I6)</f>
        <v>795306.4</v>
      </c>
      <c r="G6" s="671">
        <f>'Rozpočet - HW a licencie'!$I$7</f>
        <v>150000</v>
      </c>
      <c r="H6" s="576">
        <f>0</f>
        <v>0</v>
      </c>
      <c r="I6" s="576">
        <f>'Rozpočet - HW a licencie'!I8</f>
        <v>3000</v>
      </c>
      <c r="J6" s="576">
        <f>IFERROR(SUMIFS('Rozpočet - HW a licencie'!$I$3:$I$105,'Rozpočet - HW a licencie'!$A$3:$A$105,'TCO TO BE- SW'!J$2,'Rozpočet - HW a licencie'!$C$3:$C$105,"SW",'Rozpočet - HW a licencie'!$G$3:$G$105,'TCO TO BE- SW'!$D6,'Rozpočet - HW a licencie'!$D$3:$D$105,$B$6),)</f>
        <v>0</v>
      </c>
      <c r="K6" s="576">
        <f>IFERROR(SUMIFS('Rozpočet - HW a licencie'!$I$3:$I$105,'Rozpočet - HW a licencie'!$A$3:$A$105,'TCO TO BE- SW'!K$2,'Rozpočet - HW a licencie'!$C$3:$C$105,"SW",'Rozpočet - HW a licencie'!$G$3:$G$105,'TCO TO BE- SW'!$D6,'Rozpočet - HW a licencie'!$D$3:$D$105,$B$6),)</f>
        <v>0</v>
      </c>
      <c r="L6" s="576">
        <f>IFERROR(SUMIFS('Rozpočet - HW a licencie'!$I$3:$I$105,'Rozpočet - HW a licencie'!$A$3:$A$105,'TCO TO BE- SW'!L$2,'Rozpočet - HW a licencie'!$C$3:$C$105,"SW",'Rozpočet - HW a licencie'!$G$3:$G$105,'TCO TO BE- SW'!$D6,'Rozpočet - HW a licencie'!$D$3:$D$105,$B$6),)</f>
        <v>0</v>
      </c>
      <c r="M6" s="576">
        <f>IFERROR(SUMIFS('Rozpočet - HW a licencie'!$I$3:$I$105,'Rozpočet - HW a licencie'!$A$3:$A$105,'TCO TO BE- SW'!M$2,'Rozpočet - HW a licencie'!$C$3:$C$105,"SW",'Rozpočet - HW a licencie'!$G$3:$G$105,'TCO TO BE- SW'!$D6,'Rozpočet - HW a licencie'!$D$3:$D$105,$B$6),)</f>
        <v>0</v>
      </c>
      <c r="N6" s="576">
        <f>IFERROR(SUMIFS('Rozpočet - HW a licencie'!$I$3:$I$105,'Rozpočet - HW a licencie'!$A$3:$A$105,'TCO TO BE- SW'!N$2,'Rozpočet - HW a licencie'!$C$3:$C$105,"SW",'Rozpočet - HW a licencie'!$G$3:$G$105,'TCO TO BE- SW'!$D6,'Rozpočet - HW a licencie'!$D$3:$D$105,$B$6),)</f>
        <v>0</v>
      </c>
      <c r="O6" s="576">
        <f>IFERROR(SUMIFS('Rozpočet - HW a licencie'!$I$3:$I$105,'Rozpočet - HW a licencie'!$A$3:$A$105,'TCO TO BE- SW'!O$2,'Rozpočet - HW a licencie'!$C$3:$C$105,"SW",'Rozpočet - HW a licencie'!$G$3:$G$105,'TCO TO BE- SW'!$D6,'Rozpočet - HW a licencie'!$D$3:$D$105,$B$6),)</f>
        <v>0</v>
      </c>
      <c r="P6" s="576">
        <f>IFERROR(SUMIFS('Rozpočet - HW a licencie'!$I$3:$I$105,'Rozpočet - HW a licencie'!$A$3:$A$105,'TCO TO BE- SW'!P$2,'Rozpočet - HW a licencie'!$C$3:$C$105,"SW",'Rozpočet - HW a licencie'!$G$3:$G$105,'TCO TO BE- SW'!$D6,'Rozpočet - HW a licencie'!$D$3:$D$105,$B$6),)</f>
        <v>0</v>
      </c>
      <c r="Q6" s="576">
        <f>IFERROR(SUMIFS('Rozpočet - HW a licencie'!$I$3:$I$105,'Rozpočet - HW a licencie'!$A$3:$A$105,'TCO TO BE- SW'!Q$2,'Rozpočet - HW a licencie'!$C$3:$C$105,"SW",'Rozpočet - HW a licencie'!$G$3:$G$105,'TCO TO BE- SW'!$D6,'Rozpočet - HW a licencie'!$D$3:$D$105,$B$6),)</f>
        <v>0</v>
      </c>
      <c r="R6" s="576">
        <f>IFERROR(SUMIFS('Rozpočet - HW a licencie'!$I$3:$I$105,'Rozpočet - HW a licencie'!$A$3:$A$105,'TCO TO BE- SW'!R$2,'Rozpočet - HW a licencie'!$C$3:$C$105,"SW",'Rozpočet - HW a licencie'!$G$3:$G$105,'TCO TO BE- SW'!$D6,'Rozpočet - HW a licencie'!$D$3:$D$105,$B$6),)</f>
        <v>0</v>
      </c>
      <c r="S6" s="576">
        <f>IFERROR(SUMIFS('Rozpočet - HW a licencie'!$I$3:$I$105,'Rozpočet - HW a licencie'!$A$3:$A$105,'TCO TO BE- SW'!S$2,'Rozpočet - HW a licencie'!$C$3:$C$105,"SW",'Rozpočet - HW a licencie'!$G$3:$G$105,'TCO TO BE- SW'!$D6,'Rozpočet - HW a licencie'!$D$3:$D$105,$B$6),)</f>
        <v>0</v>
      </c>
      <c r="T6" s="576">
        <f>IFERROR(SUMIFS('Rozpočet - HW a licencie'!$I$3:$I$105,'Rozpočet - HW a licencie'!$A$3:$A$105,'TCO TO BE- SW'!T$2,'Rozpočet - HW a licencie'!$C$3:$C$105,"SW",'Rozpočet - HW a licencie'!$G$3:$G$105,'TCO TO BE- SW'!$D6,'Rozpočet - HW a licencie'!$D$3:$D$105,$B$6),)</f>
        <v>0</v>
      </c>
      <c r="U6" s="576">
        <f>IFERROR(SUMIFS('Rozpočet - HW a licencie'!$I$3:$I$105,'Rozpočet - HW a licencie'!$A$3:$A$105,'TCO TO BE- SW'!U$2,'Rozpočet - HW a licencie'!$C$3:$C$105,"SW",'Rozpočet - HW a licencie'!$G$3:$G$105,'TCO TO BE- SW'!$D6,'Rozpočet - HW a licencie'!$D$3:$D$105,$B$6),)</f>
        <v>0</v>
      </c>
      <c r="V6" s="576">
        <f>IFERROR(SUMIFS('Rozpočet - HW a licencie'!$I$3:$I$105,'Rozpočet - HW a licencie'!$A$3:$A$105,'TCO TO BE- SW'!V$2,'Rozpočet - HW a licencie'!$C$3:$C$105,"SW",'Rozpočet - HW a licencie'!$G$3:$G$105,'TCO TO BE- SW'!$D6,'Rozpočet - HW a licencie'!$D$3:$D$105,$B$6),)</f>
        <v>0</v>
      </c>
      <c r="W6" s="576">
        <f>IFERROR(SUMIFS('Rozpočet - HW a licencie'!$I$3:$I$105,'Rozpočet - HW a licencie'!$A$3:$A$105,'TCO TO BE- SW'!W$2,'Rozpočet - HW a licencie'!$C$3:$C$105,"SW",'Rozpočet - HW a licencie'!$G$3:$G$105,'TCO TO BE- SW'!$D6,'Rozpočet - HW a licencie'!$D$3:$D$105,$B$6),)</f>
        <v>0</v>
      </c>
      <c r="X6" s="576">
        <f>IFERROR(SUMIFS('Rozpočet - HW a licencie'!$I$3:$I$105,'Rozpočet - HW a licencie'!$A$3:$A$105,'TCO TO BE- SW'!X$2,'Rozpočet - HW a licencie'!$C$3:$C$105,"SW",'Rozpočet - HW a licencie'!$G$3:$G$105,'TCO TO BE- SW'!$D6,'Rozpočet - HW a licencie'!$D$3:$D$105,$B$6),)</f>
        <v>0</v>
      </c>
      <c r="Y6" s="576">
        <f>IFERROR(SUMIFS('Rozpočet - HW a licencie'!$I$3:$I$105,'Rozpočet - HW a licencie'!$A$3:$A$105,'TCO TO BE- SW'!Y$2,'Rozpočet - HW a licencie'!$C$3:$C$105,"SW",'Rozpočet - HW a licencie'!$G$3:$G$105,'TCO TO BE- SW'!$D6,'Rozpočet - HW a licencie'!$D$3:$D$105,$B$6),)</f>
        <v>0</v>
      </c>
      <c r="Z6" s="576">
        <f>IFERROR(SUMIFS('Rozpočet - HW a licencie'!$I$3:$I$105,'Rozpočet - HW a licencie'!$A$3:$A$105,'TCO TO BE- SW'!Z$2,'Rozpočet - HW a licencie'!$C$3:$C$105,"SW",'Rozpočet - HW a licencie'!$G$3:$G$105,'TCO TO BE- SW'!$D6,'Rozpočet - HW a licencie'!$D$3:$D$105,$B$6),)</f>
        <v>0</v>
      </c>
    </row>
    <row r="7" spans="1:26" outlineLevel="2">
      <c r="A7" s="824"/>
      <c r="B7" s="825"/>
      <c r="C7" s="825"/>
      <c r="D7" s="64">
        <v>2</v>
      </c>
      <c r="E7" s="61">
        <f t="shared" ref="E7:E35" si="4">SUM(F7:Z7)</f>
        <v>1605306.4</v>
      </c>
      <c r="F7" s="672">
        <f>SUM('Rozpočet - HW a licencie'!$I$3,'Rozpočet - HW a licencie'!$I$5,'Rozpočet - HW a licencie'!$I$6)</f>
        <v>1449306.4</v>
      </c>
      <c r="G7" s="672">
        <f>'Rozpočet - HW a licencie'!$I$7</f>
        <v>150000</v>
      </c>
      <c r="H7" s="577">
        <f>0</f>
        <v>0</v>
      </c>
      <c r="I7" s="577">
        <f>'Rozpočet - HW a licencie'!I9</f>
        <v>6000</v>
      </c>
      <c r="J7" s="577">
        <f>IFERROR(SUMIFS('Rozpočet - HW a licencie'!$I$3:$I$105,'Rozpočet - HW a licencie'!$A$3:$A$105,'TCO TO BE- SW'!J$2,'Rozpočet - HW a licencie'!$C$3:$C$105,"SW",'Rozpočet - HW a licencie'!$G$3:$G$105,'TCO TO BE- SW'!$D7,'Rozpočet - HW a licencie'!$D$3:$D$105,$B$6),)</f>
        <v>0</v>
      </c>
      <c r="K7" s="577">
        <f>IFERROR(SUMIFS('Rozpočet - HW a licencie'!$I$3:$I$105,'Rozpočet - HW a licencie'!$A$3:$A$105,'TCO TO BE- SW'!K$2,'Rozpočet - HW a licencie'!$C$3:$C$105,"SW",'Rozpočet - HW a licencie'!$G$3:$G$105,'TCO TO BE- SW'!$D7,'Rozpočet - HW a licencie'!$D$3:$D$105,$B$6),)</f>
        <v>0</v>
      </c>
      <c r="L7" s="577">
        <f>IFERROR(SUMIFS('Rozpočet - HW a licencie'!$I$3:$I$105,'Rozpočet - HW a licencie'!$A$3:$A$105,'TCO TO BE- SW'!L$2,'Rozpočet - HW a licencie'!$C$3:$C$105,"SW",'Rozpočet - HW a licencie'!$G$3:$G$105,'TCO TO BE- SW'!$D7,'Rozpočet - HW a licencie'!$D$3:$D$105,$B$6),)</f>
        <v>0</v>
      </c>
      <c r="M7" s="577">
        <f>IFERROR(SUMIFS('Rozpočet - HW a licencie'!$I$3:$I$105,'Rozpočet - HW a licencie'!$A$3:$A$105,'TCO TO BE- SW'!M$2,'Rozpočet - HW a licencie'!$C$3:$C$105,"SW",'Rozpočet - HW a licencie'!$G$3:$G$105,'TCO TO BE- SW'!$D7,'Rozpočet - HW a licencie'!$D$3:$D$105,$B$6),)</f>
        <v>0</v>
      </c>
      <c r="N7" s="577">
        <f>IFERROR(SUMIFS('Rozpočet - HW a licencie'!$I$3:$I$105,'Rozpočet - HW a licencie'!$A$3:$A$105,'TCO TO BE- SW'!N$2,'Rozpočet - HW a licencie'!$C$3:$C$105,"SW",'Rozpočet - HW a licencie'!$G$3:$G$105,'TCO TO BE- SW'!$D7,'Rozpočet - HW a licencie'!$D$3:$D$105,$B$6),)</f>
        <v>0</v>
      </c>
      <c r="O7" s="577">
        <f>IFERROR(SUMIFS('Rozpočet - HW a licencie'!$I$3:$I$105,'Rozpočet - HW a licencie'!$A$3:$A$105,'TCO TO BE- SW'!O$2,'Rozpočet - HW a licencie'!$C$3:$C$105,"SW",'Rozpočet - HW a licencie'!$G$3:$G$105,'TCO TO BE- SW'!$D7,'Rozpočet - HW a licencie'!$D$3:$D$105,$B$6),)</f>
        <v>0</v>
      </c>
      <c r="P7" s="577">
        <f>IFERROR(SUMIFS('Rozpočet - HW a licencie'!$I$3:$I$105,'Rozpočet - HW a licencie'!$A$3:$A$105,'TCO TO BE- SW'!P$2,'Rozpočet - HW a licencie'!$C$3:$C$105,"SW",'Rozpočet - HW a licencie'!$G$3:$G$105,'TCO TO BE- SW'!$D7,'Rozpočet - HW a licencie'!$D$3:$D$105,$B$6),)</f>
        <v>0</v>
      </c>
      <c r="Q7" s="577">
        <f>IFERROR(SUMIFS('Rozpočet - HW a licencie'!$I$3:$I$105,'Rozpočet - HW a licencie'!$A$3:$A$105,'TCO TO BE- SW'!Q$2,'Rozpočet - HW a licencie'!$C$3:$C$105,"SW",'Rozpočet - HW a licencie'!$G$3:$G$105,'TCO TO BE- SW'!$D7,'Rozpočet - HW a licencie'!$D$3:$D$105,$B$6),)</f>
        <v>0</v>
      </c>
      <c r="R7" s="577">
        <f>IFERROR(SUMIFS('Rozpočet - HW a licencie'!$I$3:$I$105,'Rozpočet - HW a licencie'!$A$3:$A$105,'TCO TO BE- SW'!R$2,'Rozpočet - HW a licencie'!$C$3:$C$105,"SW",'Rozpočet - HW a licencie'!$G$3:$G$105,'TCO TO BE- SW'!$D7,'Rozpočet - HW a licencie'!$D$3:$D$105,$B$6),)</f>
        <v>0</v>
      </c>
      <c r="S7" s="577">
        <f>IFERROR(SUMIFS('Rozpočet - HW a licencie'!$I$3:$I$105,'Rozpočet - HW a licencie'!$A$3:$A$105,'TCO TO BE- SW'!S$2,'Rozpočet - HW a licencie'!$C$3:$C$105,"SW",'Rozpočet - HW a licencie'!$G$3:$G$105,'TCO TO BE- SW'!$D7,'Rozpočet - HW a licencie'!$D$3:$D$105,$B$6),)</f>
        <v>0</v>
      </c>
      <c r="T7" s="577">
        <f>IFERROR(SUMIFS('Rozpočet - HW a licencie'!$I$3:$I$105,'Rozpočet - HW a licencie'!$A$3:$A$105,'TCO TO BE- SW'!T$2,'Rozpočet - HW a licencie'!$C$3:$C$105,"SW",'Rozpočet - HW a licencie'!$G$3:$G$105,'TCO TO BE- SW'!$D7,'Rozpočet - HW a licencie'!$D$3:$D$105,$B$6),)</f>
        <v>0</v>
      </c>
      <c r="U7" s="577">
        <f>IFERROR(SUMIFS('Rozpočet - HW a licencie'!$I$3:$I$105,'Rozpočet - HW a licencie'!$A$3:$A$105,'TCO TO BE- SW'!U$2,'Rozpočet - HW a licencie'!$C$3:$C$105,"SW",'Rozpočet - HW a licencie'!$G$3:$G$105,'TCO TO BE- SW'!$D7,'Rozpočet - HW a licencie'!$D$3:$D$105,$B$6),)</f>
        <v>0</v>
      </c>
      <c r="V7" s="577">
        <f>IFERROR(SUMIFS('Rozpočet - HW a licencie'!$I$3:$I$105,'Rozpočet - HW a licencie'!$A$3:$A$105,'TCO TO BE- SW'!V$2,'Rozpočet - HW a licencie'!$C$3:$C$105,"SW",'Rozpočet - HW a licencie'!$G$3:$G$105,'TCO TO BE- SW'!$D7,'Rozpočet - HW a licencie'!$D$3:$D$105,$B$6),)</f>
        <v>0</v>
      </c>
      <c r="W7" s="577">
        <f>IFERROR(SUMIFS('Rozpočet - HW a licencie'!$I$3:$I$105,'Rozpočet - HW a licencie'!$A$3:$A$105,'TCO TO BE- SW'!W$2,'Rozpočet - HW a licencie'!$C$3:$C$105,"SW",'Rozpočet - HW a licencie'!$G$3:$G$105,'TCO TO BE- SW'!$D7,'Rozpočet - HW a licencie'!$D$3:$D$105,$B$6),)</f>
        <v>0</v>
      </c>
      <c r="X7" s="577">
        <f>IFERROR(SUMIFS('Rozpočet - HW a licencie'!$I$3:$I$105,'Rozpočet - HW a licencie'!$A$3:$A$105,'TCO TO BE- SW'!X$2,'Rozpočet - HW a licencie'!$C$3:$C$105,"SW",'Rozpočet - HW a licencie'!$G$3:$G$105,'TCO TO BE- SW'!$D7,'Rozpočet - HW a licencie'!$D$3:$D$105,$B$6),)</f>
        <v>0</v>
      </c>
      <c r="Y7" s="577">
        <f>IFERROR(SUMIFS('Rozpočet - HW a licencie'!$I$3:$I$105,'Rozpočet - HW a licencie'!$A$3:$A$105,'TCO TO BE- SW'!Y$2,'Rozpočet - HW a licencie'!$C$3:$C$105,"SW",'Rozpočet - HW a licencie'!$G$3:$G$105,'TCO TO BE- SW'!$D7,'Rozpočet - HW a licencie'!$D$3:$D$105,$B$6),)</f>
        <v>0</v>
      </c>
      <c r="Z7" s="577">
        <f>IFERROR(SUMIFS('Rozpočet - HW a licencie'!$I$3:$I$105,'Rozpočet - HW a licencie'!$A$3:$A$105,'TCO TO BE- SW'!Z$2,'Rozpočet - HW a licencie'!$C$3:$C$105,"SW",'Rozpočet - HW a licencie'!$G$3:$G$105,'TCO TO BE- SW'!$D7,'Rozpočet - HW a licencie'!$D$3:$D$105,$B$6),)</f>
        <v>0</v>
      </c>
    </row>
    <row r="8" spans="1:26" outlineLevel="2">
      <c r="A8" s="824"/>
      <c r="B8" s="825"/>
      <c r="C8" s="825"/>
      <c r="D8" s="64">
        <v>3</v>
      </c>
      <c r="E8" s="61">
        <f t="shared" si="4"/>
        <v>1611306.4</v>
      </c>
      <c r="F8" s="672">
        <f>SUM('Rozpočet - HW a licencie'!$I$3,'Rozpočet - HW a licencie'!$I$5,'Rozpočet - HW a licencie'!$I$6)</f>
        <v>1449306.4</v>
      </c>
      <c r="G8" s="672">
        <f>'Rozpočet - HW a licencie'!$I$7</f>
        <v>150000</v>
      </c>
      <c r="H8" s="577">
        <f>0</f>
        <v>0</v>
      </c>
      <c r="I8" s="577">
        <f>'Rozpočet - HW a licencie'!$I$10</f>
        <v>12000</v>
      </c>
      <c r="J8" s="577">
        <f>IFERROR(SUMIFS('Rozpočet - HW a licencie'!$I$3:$I$105,'Rozpočet - HW a licencie'!$A$3:$A$105,'TCO TO BE- SW'!J$2,'Rozpočet - HW a licencie'!$C$3:$C$105,"SW",'Rozpočet - HW a licencie'!$G$3:$G$105,'TCO TO BE- SW'!$D8,'Rozpočet - HW a licencie'!$D$3:$D$105,$B$6),)</f>
        <v>0</v>
      </c>
      <c r="K8" s="577">
        <f>IFERROR(SUMIFS('Rozpočet - HW a licencie'!$I$3:$I$105,'Rozpočet - HW a licencie'!$A$3:$A$105,'TCO TO BE- SW'!K$2,'Rozpočet - HW a licencie'!$C$3:$C$105,"SW",'Rozpočet - HW a licencie'!$G$3:$G$105,'TCO TO BE- SW'!$D8,'Rozpočet - HW a licencie'!$D$3:$D$105,$B$6),)</f>
        <v>0</v>
      </c>
      <c r="L8" s="577">
        <f>IFERROR(SUMIFS('Rozpočet - HW a licencie'!$I$3:$I$105,'Rozpočet - HW a licencie'!$A$3:$A$105,'TCO TO BE- SW'!L$2,'Rozpočet - HW a licencie'!$C$3:$C$105,"SW",'Rozpočet - HW a licencie'!$G$3:$G$105,'TCO TO BE- SW'!$D8,'Rozpočet - HW a licencie'!$D$3:$D$105,$B$6),)</f>
        <v>0</v>
      </c>
      <c r="M8" s="577">
        <f>IFERROR(SUMIFS('Rozpočet - HW a licencie'!$I$3:$I$105,'Rozpočet - HW a licencie'!$A$3:$A$105,'TCO TO BE- SW'!M$2,'Rozpočet - HW a licencie'!$C$3:$C$105,"SW",'Rozpočet - HW a licencie'!$G$3:$G$105,'TCO TO BE- SW'!$D8,'Rozpočet - HW a licencie'!$D$3:$D$105,$B$6),)</f>
        <v>0</v>
      </c>
      <c r="N8" s="577">
        <f>IFERROR(SUMIFS('Rozpočet - HW a licencie'!$I$3:$I$105,'Rozpočet - HW a licencie'!$A$3:$A$105,'TCO TO BE- SW'!N$2,'Rozpočet - HW a licencie'!$C$3:$C$105,"SW",'Rozpočet - HW a licencie'!$G$3:$G$105,'TCO TO BE- SW'!$D8,'Rozpočet - HW a licencie'!$D$3:$D$105,$B$6),)</f>
        <v>0</v>
      </c>
      <c r="O8" s="577">
        <f>IFERROR(SUMIFS('Rozpočet - HW a licencie'!$I$3:$I$105,'Rozpočet - HW a licencie'!$A$3:$A$105,'TCO TO BE- SW'!O$2,'Rozpočet - HW a licencie'!$C$3:$C$105,"SW",'Rozpočet - HW a licencie'!$G$3:$G$105,'TCO TO BE- SW'!$D8,'Rozpočet - HW a licencie'!$D$3:$D$105,$B$6),)</f>
        <v>0</v>
      </c>
      <c r="P8" s="577">
        <f>IFERROR(SUMIFS('Rozpočet - HW a licencie'!$I$3:$I$105,'Rozpočet - HW a licencie'!$A$3:$A$105,'TCO TO BE- SW'!P$2,'Rozpočet - HW a licencie'!$C$3:$C$105,"SW",'Rozpočet - HW a licencie'!$G$3:$G$105,'TCO TO BE- SW'!$D8,'Rozpočet - HW a licencie'!$D$3:$D$105,$B$6),)</f>
        <v>0</v>
      </c>
      <c r="Q8" s="577">
        <f>IFERROR(SUMIFS('Rozpočet - HW a licencie'!$I$3:$I$105,'Rozpočet - HW a licencie'!$A$3:$A$105,'TCO TO BE- SW'!Q$2,'Rozpočet - HW a licencie'!$C$3:$C$105,"SW",'Rozpočet - HW a licencie'!$G$3:$G$105,'TCO TO BE- SW'!$D8,'Rozpočet - HW a licencie'!$D$3:$D$105,$B$6),)</f>
        <v>0</v>
      </c>
      <c r="R8" s="577">
        <f>IFERROR(SUMIFS('Rozpočet - HW a licencie'!$I$3:$I$105,'Rozpočet - HW a licencie'!$A$3:$A$105,'TCO TO BE- SW'!R$2,'Rozpočet - HW a licencie'!$C$3:$C$105,"SW",'Rozpočet - HW a licencie'!$G$3:$G$105,'TCO TO BE- SW'!$D8,'Rozpočet - HW a licencie'!$D$3:$D$105,$B$6),)</f>
        <v>0</v>
      </c>
      <c r="S8" s="577">
        <f>IFERROR(SUMIFS('Rozpočet - HW a licencie'!$I$3:$I$105,'Rozpočet - HW a licencie'!$A$3:$A$105,'TCO TO BE- SW'!S$2,'Rozpočet - HW a licencie'!$C$3:$C$105,"SW",'Rozpočet - HW a licencie'!$G$3:$G$105,'TCO TO BE- SW'!$D8,'Rozpočet - HW a licencie'!$D$3:$D$105,$B$6),)</f>
        <v>0</v>
      </c>
      <c r="T8" s="577">
        <f>IFERROR(SUMIFS('Rozpočet - HW a licencie'!$I$3:$I$105,'Rozpočet - HW a licencie'!$A$3:$A$105,'TCO TO BE- SW'!T$2,'Rozpočet - HW a licencie'!$C$3:$C$105,"SW",'Rozpočet - HW a licencie'!$G$3:$G$105,'TCO TO BE- SW'!$D8,'Rozpočet - HW a licencie'!$D$3:$D$105,$B$6),)</f>
        <v>0</v>
      </c>
      <c r="U8" s="577">
        <f>IFERROR(SUMIFS('Rozpočet - HW a licencie'!$I$3:$I$105,'Rozpočet - HW a licencie'!$A$3:$A$105,'TCO TO BE- SW'!U$2,'Rozpočet - HW a licencie'!$C$3:$C$105,"SW",'Rozpočet - HW a licencie'!$G$3:$G$105,'TCO TO BE- SW'!$D8,'Rozpočet - HW a licencie'!$D$3:$D$105,$B$6),)</f>
        <v>0</v>
      </c>
      <c r="V8" s="577">
        <f>IFERROR(SUMIFS('Rozpočet - HW a licencie'!$I$3:$I$105,'Rozpočet - HW a licencie'!$A$3:$A$105,'TCO TO BE- SW'!V$2,'Rozpočet - HW a licencie'!$C$3:$C$105,"SW",'Rozpočet - HW a licencie'!$G$3:$G$105,'TCO TO BE- SW'!$D8,'Rozpočet - HW a licencie'!$D$3:$D$105,$B$6),)</f>
        <v>0</v>
      </c>
      <c r="W8" s="577">
        <f>IFERROR(SUMIFS('Rozpočet - HW a licencie'!$I$3:$I$105,'Rozpočet - HW a licencie'!$A$3:$A$105,'TCO TO BE- SW'!W$2,'Rozpočet - HW a licencie'!$C$3:$C$105,"SW",'Rozpočet - HW a licencie'!$G$3:$G$105,'TCO TO BE- SW'!$D8,'Rozpočet - HW a licencie'!$D$3:$D$105,$B$6),)</f>
        <v>0</v>
      </c>
      <c r="X8" s="577">
        <f>IFERROR(SUMIFS('Rozpočet - HW a licencie'!$I$3:$I$105,'Rozpočet - HW a licencie'!$A$3:$A$105,'TCO TO BE- SW'!X$2,'Rozpočet - HW a licencie'!$C$3:$C$105,"SW",'Rozpočet - HW a licencie'!$G$3:$G$105,'TCO TO BE- SW'!$D8,'Rozpočet - HW a licencie'!$D$3:$D$105,$B$6),)</f>
        <v>0</v>
      </c>
      <c r="Y8" s="577">
        <f>IFERROR(SUMIFS('Rozpočet - HW a licencie'!$I$3:$I$105,'Rozpočet - HW a licencie'!$A$3:$A$105,'TCO TO BE- SW'!Y$2,'Rozpočet - HW a licencie'!$C$3:$C$105,"SW",'Rozpočet - HW a licencie'!$G$3:$G$105,'TCO TO BE- SW'!$D8,'Rozpočet - HW a licencie'!$D$3:$D$105,$B$6),)</f>
        <v>0</v>
      </c>
      <c r="Z8" s="577">
        <f>IFERROR(SUMIFS('Rozpočet - HW a licencie'!$I$3:$I$105,'Rozpočet - HW a licencie'!$A$3:$A$105,'TCO TO BE- SW'!Z$2,'Rozpočet - HW a licencie'!$C$3:$C$105,"SW",'Rozpočet - HW a licencie'!$G$3:$G$105,'TCO TO BE- SW'!$D8,'Rozpočet - HW a licencie'!$D$3:$D$105,$B$6),)</f>
        <v>0</v>
      </c>
    </row>
    <row r="9" spans="1:26" outlineLevel="2">
      <c r="A9" s="824"/>
      <c r="B9" s="825"/>
      <c r="C9" s="825"/>
      <c r="D9" s="64">
        <v>4</v>
      </c>
      <c r="E9" s="61">
        <f t="shared" si="4"/>
        <v>0</v>
      </c>
      <c r="F9" s="672">
        <v>0</v>
      </c>
      <c r="G9" s="672">
        <v>0</v>
      </c>
      <c r="H9" s="577">
        <f>0</f>
        <v>0</v>
      </c>
      <c r="I9" s="577">
        <v>0</v>
      </c>
      <c r="J9" s="577">
        <f>IFERROR(SUMIFS('Rozpočet - HW a licencie'!$I$3:$I$105,'Rozpočet - HW a licencie'!$A$3:$A$105,'TCO TO BE- SW'!J$2,'Rozpočet - HW a licencie'!$C$3:$C$105,"SW",'Rozpočet - HW a licencie'!$G$3:$G$105,'TCO TO BE- SW'!$D9,'Rozpočet - HW a licencie'!$D$3:$D$105,$B$6),)</f>
        <v>0</v>
      </c>
      <c r="K9" s="577">
        <f>IFERROR(SUMIFS('Rozpočet - HW a licencie'!$I$3:$I$105,'Rozpočet - HW a licencie'!$A$3:$A$105,'TCO TO BE- SW'!K$2,'Rozpočet - HW a licencie'!$C$3:$C$105,"SW",'Rozpočet - HW a licencie'!$G$3:$G$105,'TCO TO BE- SW'!$D9,'Rozpočet - HW a licencie'!$D$3:$D$105,$B$6),)</f>
        <v>0</v>
      </c>
      <c r="L9" s="577">
        <f>IFERROR(SUMIFS('Rozpočet - HW a licencie'!$I$3:$I$105,'Rozpočet - HW a licencie'!$A$3:$A$105,'TCO TO BE- SW'!L$2,'Rozpočet - HW a licencie'!$C$3:$C$105,"SW",'Rozpočet - HW a licencie'!$G$3:$G$105,'TCO TO BE- SW'!$D9,'Rozpočet - HW a licencie'!$D$3:$D$105,$B$6),)</f>
        <v>0</v>
      </c>
      <c r="M9" s="577">
        <f>IFERROR(SUMIFS('Rozpočet - HW a licencie'!$I$3:$I$105,'Rozpočet - HW a licencie'!$A$3:$A$105,'TCO TO BE- SW'!M$2,'Rozpočet - HW a licencie'!$C$3:$C$105,"SW",'Rozpočet - HW a licencie'!$G$3:$G$105,'TCO TO BE- SW'!$D9,'Rozpočet - HW a licencie'!$D$3:$D$105,$B$6),)</f>
        <v>0</v>
      </c>
      <c r="N9" s="577">
        <f>IFERROR(SUMIFS('Rozpočet - HW a licencie'!$I$3:$I$105,'Rozpočet - HW a licencie'!$A$3:$A$105,'TCO TO BE- SW'!N$2,'Rozpočet - HW a licencie'!$C$3:$C$105,"SW",'Rozpočet - HW a licencie'!$G$3:$G$105,'TCO TO BE- SW'!$D9,'Rozpočet - HW a licencie'!$D$3:$D$105,$B$6),)</f>
        <v>0</v>
      </c>
      <c r="O9" s="577">
        <f>IFERROR(SUMIFS('Rozpočet - HW a licencie'!$I$3:$I$105,'Rozpočet - HW a licencie'!$A$3:$A$105,'TCO TO BE- SW'!O$2,'Rozpočet - HW a licencie'!$C$3:$C$105,"SW",'Rozpočet - HW a licencie'!$G$3:$G$105,'TCO TO BE- SW'!$D9,'Rozpočet - HW a licencie'!$D$3:$D$105,$B$6),)</f>
        <v>0</v>
      </c>
      <c r="P9" s="577">
        <f>IFERROR(SUMIFS('Rozpočet - HW a licencie'!$I$3:$I$105,'Rozpočet - HW a licencie'!$A$3:$A$105,'TCO TO BE- SW'!P$2,'Rozpočet - HW a licencie'!$C$3:$C$105,"SW",'Rozpočet - HW a licencie'!$G$3:$G$105,'TCO TO BE- SW'!$D9,'Rozpočet - HW a licencie'!$D$3:$D$105,$B$6),)</f>
        <v>0</v>
      </c>
      <c r="Q9" s="577">
        <f>IFERROR(SUMIFS('Rozpočet - HW a licencie'!$I$3:$I$105,'Rozpočet - HW a licencie'!$A$3:$A$105,'TCO TO BE- SW'!Q$2,'Rozpočet - HW a licencie'!$C$3:$C$105,"SW",'Rozpočet - HW a licencie'!$G$3:$G$105,'TCO TO BE- SW'!$D9,'Rozpočet - HW a licencie'!$D$3:$D$105,$B$6),)</f>
        <v>0</v>
      </c>
      <c r="R9" s="577">
        <f>IFERROR(SUMIFS('Rozpočet - HW a licencie'!$I$3:$I$105,'Rozpočet - HW a licencie'!$A$3:$A$105,'TCO TO BE- SW'!R$2,'Rozpočet - HW a licencie'!$C$3:$C$105,"SW",'Rozpočet - HW a licencie'!$G$3:$G$105,'TCO TO BE- SW'!$D9,'Rozpočet - HW a licencie'!$D$3:$D$105,$B$6),)</f>
        <v>0</v>
      </c>
      <c r="S9" s="577">
        <f>IFERROR(SUMIFS('Rozpočet - HW a licencie'!$I$3:$I$105,'Rozpočet - HW a licencie'!$A$3:$A$105,'TCO TO BE- SW'!S$2,'Rozpočet - HW a licencie'!$C$3:$C$105,"SW",'Rozpočet - HW a licencie'!$G$3:$G$105,'TCO TO BE- SW'!$D9,'Rozpočet - HW a licencie'!$D$3:$D$105,$B$6),)</f>
        <v>0</v>
      </c>
      <c r="T9" s="577">
        <f>IFERROR(SUMIFS('Rozpočet - HW a licencie'!$I$3:$I$105,'Rozpočet - HW a licencie'!$A$3:$A$105,'TCO TO BE- SW'!T$2,'Rozpočet - HW a licencie'!$C$3:$C$105,"SW",'Rozpočet - HW a licencie'!$G$3:$G$105,'TCO TO BE- SW'!$D9,'Rozpočet - HW a licencie'!$D$3:$D$105,$B$6),)</f>
        <v>0</v>
      </c>
      <c r="U9" s="577">
        <f>IFERROR(SUMIFS('Rozpočet - HW a licencie'!$I$3:$I$105,'Rozpočet - HW a licencie'!$A$3:$A$105,'TCO TO BE- SW'!U$2,'Rozpočet - HW a licencie'!$C$3:$C$105,"SW",'Rozpočet - HW a licencie'!$G$3:$G$105,'TCO TO BE- SW'!$D9,'Rozpočet - HW a licencie'!$D$3:$D$105,$B$6),)</f>
        <v>0</v>
      </c>
      <c r="V9" s="577">
        <f>IFERROR(SUMIFS('Rozpočet - HW a licencie'!$I$3:$I$105,'Rozpočet - HW a licencie'!$A$3:$A$105,'TCO TO BE- SW'!V$2,'Rozpočet - HW a licencie'!$C$3:$C$105,"SW",'Rozpočet - HW a licencie'!$G$3:$G$105,'TCO TO BE- SW'!$D9,'Rozpočet - HW a licencie'!$D$3:$D$105,$B$6),)</f>
        <v>0</v>
      </c>
      <c r="W9" s="577">
        <f>IFERROR(SUMIFS('Rozpočet - HW a licencie'!$I$3:$I$105,'Rozpočet - HW a licencie'!$A$3:$A$105,'TCO TO BE- SW'!W$2,'Rozpočet - HW a licencie'!$C$3:$C$105,"SW",'Rozpočet - HW a licencie'!$G$3:$G$105,'TCO TO BE- SW'!$D9,'Rozpočet - HW a licencie'!$D$3:$D$105,$B$6),)</f>
        <v>0</v>
      </c>
      <c r="X9" s="577">
        <f>IFERROR(SUMIFS('Rozpočet - HW a licencie'!$I$3:$I$105,'Rozpočet - HW a licencie'!$A$3:$A$105,'TCO TO BE- SW'!X$2,'Rozpočet - HW a licencie'!$C$3:$C$105,"SW",'Rozpočet - HW a licencie'!$G$3:$G$105,'TCO TO BE- SW'!$D9,'Rozpočet - HW a licencie'!$D$3:$D$105,$B$6),)</f>
        <v>0</v>
      </c>
      <c r="Y9" s="577">
        <f>IFERROR(SUMIFS('Rozpočet - HW a licencie'!$I$3:$I$105,'Rozpočet - HW a licencie'!$A$3:$A$105,'TCO TO BE- SW'!Y$2,'Rozpočet - HW a licencie'!$C$3:$C$105,"SW",'Rozpočet - HW a licencie'!$G$3:$G$105,'TCO TO BE- SW'!$D9,'Rozpočet - HW a licencie'!$D$3:$D$105,$B$6),)</f>
        <v>0</v>
      </c>
      <c r="Z9" s="577">
        <f>IFERROR(SUMIFS('Rozpočet - HW a licencie'!$I$3:$I$105,'Rozpočet - HW a licencie'!$A$3:$A$105,'TCO TO BE- SW'!Z$2,'Rozpočet - HW a licencie'!$C$3:$C$105,"SW",'Rozpočet - HW a licencie'!$G$3:$G$105,'TCO TO BE- SW'!$D9,'Rozpočet - HW a licencie'!$D$3:$D$105,$B$6),)</f>
        <v>0</v>
      </c>
    </row>
    <row r="10" spans="1:26" outlineLevel="2">
      <c r="A10" s="824"/>
      <c r="B10" s="825"/>
      <c r="C10" s="825"/>
      <c r="D10" s="64">
        <v>5</v>
      </c>
      <c r="E10" s="61">
        <f t="shared" si="4"/>
        <v>0</v>
      </c>
      <c r="F10" s="672">
        <v>0</v>
      </c>
      <c r="G10" s="672">
        <v>0</v>
      </c>
      <c r="H10" s="577">
        <f>0</f>
        <v>0</v>
      </c>
      <c r="I10" s="577">
        <v>0</v>
      </c>
      <c r="J10" s="577">
        <f>IFERROR(SUMIFS('Rozpočet - HW a licencie'!$I$3:$I$105,'Rozpočet - HW a licencie'!$A$3:$A$105,'TCO TO BE- SW'!J$2,'Rozpočet - HW a licencie'!$C$3:$C$105,"SW",'Rozpočet - HW a licencie'!$G$3:$G$105,'TCO TO BE- SW'!$D10,'Rozpočet - HW a licencie'!$D$3:$D$105,$B$6),)</f>
        <v>0</v>
      </c>
      <c r="K10" s="577">
        <f>IFERROR(SUMIFS('Rozpočet - HW a licencie'!$I$3:$I$105,'Rozpočet - HW a licencie'!$A$3:$A$105,'TCO TO BE- SW'!K$2,'Rozpočet - HW a licencie'!$C$3:$C$105,"SW",'Rozpočet - HW a licencie'!$G$3:$G$105,'TCO TO BE- SW'!$D10,'Rozpočet - HW a licencie'!$D$3:$D$105,$B$6),)</f>
        <v>0</v>
      </c>
      <c r="L10" s="577">
        <f>IFERROR(SUMIFS('Rozpočet - HW a licencie'!$I$3:$I$105,'Rozpočet - HW a licencie'!$A$3:$A$105,'TCO TO BE- SW'!L$2,'Rozpočet - HW a licencie'!$C$3:$C$105,"SW",'Rozpočet - HW a licencie'!$G$3:$G$105,'TCO TO BE- SW'!$D10,'Rozpočet - HW a licencie'!$D$3:$D$105,$B$6),)</f>
        <v>0</v>
      </c>
      <c r="M10" s="577">
        <f>IFERROR(SUMIFS('Rozpočet - HW a licencie'!$I$3:$I$105,'Rozpočet - HW a licencie'!$A$3:$A$105,'TCO TO BE- SW'!M$2,'Rozpočet - HW a licencie'!$C$3:$C$105,"SW",'Rozpočet - HW a licencie'!$G$3:$G$105,'TCO TO BE- SW'!$D10,'Rozpočet - HW a licencie'!$D$3:$D$105,$B$6),)</f>
        <v>0</v>
      </c>
      <c r="N10" s="577">
        <f>IFERROR(SUMIFS('Rozpočet - HW a licencie'!$I$3:$I$105,'Rozpočet - HW a licencie'!$A$3:$A$105,'TCO TO BE- SW'!N$2,'Rozpočet - HW a licencie'!$C$3:$C$105,"SW",'Rozpočet - HW a licencie'!$G$3:$G$105,'TCO TO BE- SW'!$D10,'Rozpočet - HW a licencie'!$D$3:$D$105,$B$6),)</f>
        <v>0</v>
      </c>
      <c r="O10" s="577">
        <f>IFERROR(SUMIFS('Rozpočet - HW a licencie'!$I$3:$I$105,'Rozpočet - HW a licencie'!$A$3:$A$105,'TCO TO BE- SW'!O$2,'Rozpočet - HW a licencie'!$C$3:$C$105,"SW",'Rozpočet - HW a licencie'!$G$3:$G$105,'TCO TO BE- SW'!$D10,'Rozpočet - HW a licencie'!$D$3:$D$105,$B$6),)</f>
        <v>0</v>
      </c>
      <c r="P10" s="577">
        <f>IFERROR(SUMIFS('Rozpočet - HW a licencie'!$I$3:$I$105,'Rozpočet - HW a licencie'!$A$3:$A$105,'TCO TO BE- SW'!P$2,'Rozpočet - HW a licencie'!$C$3:$C$105,"SW",'Rozpočet - HW a licencie'!$G$3:$G$105,'TCO TO BE- SW'!$D10,'Rozpočet - HW a licencie'!$D$3:$D$105,$B$6),)</f>
        <v>0</v>
      </c>
      <c r="Q10" s="577">
        <f>IFERROR(SUMIFS('Rozpočet - HW a licencie'!$I$3:$I$105,'Rozpočet - HW a licencie'!$A$3:$A$105,'TCO TO BE- SW'!Q$2,'Rozpočet - HW a licencie'!$C$3:$C$105,"SW",'Rozpočet - HW a licencie'!$G$3:$G$105,'TCO TO BE- SW'!$D10,'Rozpočet - HW a licencie'!$D$3:$D$105,$B$6),)</f>
        <v>0</v>
      </c>
      <c r="R10" s="577">
        <f>IFERROR(SUMIFS('Rozpočet - HW a licencie'!$I$3:$I$105,'Rozpočet - HW a licencie'!$A$3:$A$105,'TCO TO BE- SW'!R$2,'Rozpočet - HW a licencie'!$C$3:$C$105,"SW",'Rozpočet - HW a licencie'!$G$3:$G$105,'TCO TO BE- SW'!$D10,'Rozpočet - HW a licencie'!$D$3:$D$105,$B$6),)</f>
        <v>0</v>
      </c>
      <c r="S10" s="577">
        <f>IFERROR(SUMIFS('Rozpočet - HW a licencie'!$I$3:$I$105,'Rozpočet - HW a licencie'!$A$3:$A$105,'TCO TO BE- SW'!S$2,'Rozpočet - HW a licencie'!$C$3:$C$105,"SW",'Rozpočet - HW a licencie'!$G$3:$G$105,'TCO TO BE- SW'!$D10,'Rozpočet - HW a licencie'!$D$3:$D$105,$B$6),)</f>
        <v>0</v>
      </c>
      <c r="T10" s="577">
        <f>IFERROR(SUMIFS('Rozpočet - HW a licencie'!$I$3:$I$105,'Rozpočet - HW a licencie'!$A$3:$A$105,'TCO TO BE- SW'!T$2,'Rozpočet - HW a licencie'!$C$3:$C$105,"SW",'Rozpočet - HW a licencie'!$G$3:$G$105,'TCO TO BE- SW'!$D10,'Rozpočet - HW a licencie'!$D$3:$D$105,$B$6),)</f>
        <v>0</v>
      </c>
      <c r="U10" s="577">
        <f>IFERROR(SUMIFS('Rozpočet - HW a licencie'!$I$3:$I$105,'Rozpočet - HW a licencie'!$A$3:$A$105,'TCO TO BE- SW'!U$2,'Rozpočet - HW a licencie'!$C$3:$C$105,"SW",'Rozpočet - HW a licencie'!$G$3:$G$105,'TCO TO BE- SW'!$D10,'Rozpočet - HW a licencie'!$D$3:$D$105,$B$6),)</f>
        <v>0</v>
      </c>
      <c r="V10" s="577">
        <f>IFERROR(SUMIFS('Rozpočet - HW a licencie'!$I$3:$I$105,'Rozpočet - HW a licencie'!$A$3:$A$105,'TCO TO BE- SW'!V$2,'Rozpočet - HW a licencie'!$C$3:$C$105,"SW",'Rozpočet - HW a licencie'!$G$3:$G$105,'TCO TO BE- SW'!$D10,'Rozpočet - HW a licencie'!$D$3:$D$105,$B$6),)</f>
        <v>0</v>
      </c>
      <c r="W10" s="577">
        <f>IFERROR(SUMIFS('Rozpočet - HW a licencie'!$I$3:$I$105,'Rozpočet - HW a licencie'!$A$3:$A$105,'TCO TO BE- SW'!W$2,'Rozpočet - HW a licencie'!$C$3:$C$105,"SW",'Rozpočet - HW a licencie'!$G$3:$G$105,'TCO TO BE- SW'!$D10,'Rozpočet - HW a licencie'!$D$3:$D$105,$B$6),)</f>
        <v>0</v>
      </c>
      <c r="X10" s="577">
        <f>IFERROR(SUMIFS('Rozpočet - HW a licencie'!$I$3:$I$105,'Rozpočet - HW a licencie'!$A$3:$A$105,'TCO TO BE- SW'!X$2,'Rozpočet - HW a licencie'!$C$3:$C$105,"SW",'Rozpočet - HW a licencie'!$G$3:$G$105,'TCO TO BE- SW'!$D10,'Rozpočet - HW a licencie'!$D$3:$D$105,$B$6),)</f>
        <v>0</v>
      </c>
      <c r="Y10" s="577">
        <f>IFERROR(SUMIFS('Rozpočet - HW a licencie'!$I$3:$I$105,'Rozpočet - HW a licencie'!$A$3:$A$105,'TCO TO BE- SW'!Y$2,'Rozpočet - HW a licencie'!$C$3:$C$105,"SW",'Rozpočet - HW a licencie'!$G$3:$G$105,'TCO TO BE- SW'!$D10,'Rozpočet - HW a licencie'!$D$3:$D$105,$B$6),)</f>
        <v>0</v>
      </c>
      <c r="Z10" s="577">
        <f>IFERROR(SUMIFS('Rozpočet - HW a licencie'!$I$3:$I$105,'Rozpočet - HW a licencie'!$A$3:$A$105,'TCO TO BE- SW'!Z$2,'Rozpočet - HW a licencie'!$C$3:$C$105,"SW",'Rozpočet - HW a licencie'!$G$3:$G$105,'TCO TO BE- SW'!$D10,'Rozpočet - HW a licencie'!$D$3:$D$105,$B$6),)</f>
        <v>0</v>
      </c>
    </row>
    <row r="11" spans="1:26" outlineLevel="2">
      <c r="A11" s="824"/>
      <c r="B11" s="825"/>
      <c r="C11" s="825"/>
      <c r="D11" s="64">
        <v>6</v>
      </c>
      <c r="E11" s="61">
        <f t="shared" si="4"/>
        <v>0</v>
      </c>
      <c r="F11" s="672">
        <v>0</v>
      </c>
      <c r="G11" s="672">
        <v>0</v>
      </c>
      <c r="H11" s="577">
        <f>0</f>
        <v>0</v>
      </c>
      <c r="I11" s="577">
        <v>0</v>
      </c>
      <c r="J11" s="577">
        <f>IFERROR(SUMIFS('Rozpočet - HW a licencie'!$I$3:$I$105,'Rozpočet - HW a licencie'!$A$3:$A$105,'TCO TO BE- SW'!J$2,'Rozpočet - HW a licencie'!$C$3:$C$105,"SW",'Rozpočet - HW a licencie'!$G$3:$G$105,'TCO TO BE- SW'!$D11,'Rozpočet - HW a licencie'!$D$3:$D$105,$B$6),)</f>
        <v>0</v>
      </c>
      <c r="K11" s="577">
        <f>IFERROR(SUMIFS('Rozpočet - HW a licencie'!$I$3:$I$105,'Rozpočet - HW a licencie'!$A$3:$A$105,'TCO TO BE- SW'!K$2,'Rozpočet - HW a licencie'!$C$3:$C$105,"SW",'Rozpočet - HW a licencie'!$G$3:$G$105,'TCO TO BE- SW'!$D11,'Rozpočet - HW a licencie'!$D$3:$D$105,$B$6),)</f>
        <v>0</v>
      </c>
      <c r="L11" s="577">
        <f>IFERROR(SUMIFS('Rozpočet - HW a licencie'!$I$3:$I$105,'Rozpočet - HW a licencie'!$A$3:$A$105,'TCO TO BE- SW'!L$2,'Rozpočet - HW a licencie'!$C$3:$C$105,"SW",'Rozpočet - HW a licencie'!$G$3:$G$105,'TCO TO BE- SW'!$D11,'Rozpočet - HW a licencie'!$D$3:$D$105,$B$6),)</f>
        <v>0</v>
      </c>
      <c r="M11" s="577">
        <f>IFERROR(SUMIFS('Rozpočet - HW a licencie'!$I$3:$I$105,'Rozpočet - HW a licencie'!$A$3:$A$105,'TCO TO BE- SW'!M$2,'Rozpočet - HW a licencie'!$C$3:$C$105,"SW",'Rozpočet - HW a licencie'!$G$3:$G$105,'TCO TO BE- SW'!$D11,'Rozpočet - HW a licencie'!$D$3:$D$105,$B$6),)</f>
        <v>0</v>
      </c>
      <c r="N11" s="577">
        <f>IFERROR(SUMIFS('Rozpočet - HW a licencie'!$I$3:$I$105,'Rozpočet - HW a licencie'!$A$3:$A$105,'TCO TO BE- SW'!N$2,'Rozpočet - HW a licencie'!$C$3:$C$105,"SW",'Rozpočet - HW a licencie'!$G$3:$G$105,'TCO TO BE- SW'!$D11,'Rozpočet - HW a licencie'!$D$3:$D$105,$B$6),)</f>
        <v>0</v>
      </c>
      <c r="O11" s="577">
        <f>IFERROR(SUMIFS('Rozpočet - HW a licencie'!$I$3:$I$105,'Rozpočet - HW a licencie'!$A$3:$A$105,'TCO TO BE- SW'!O$2,'Rozpočet - HW a licencie'!$C$3:$C$105,"SW",'Rozpočet - HW a licencie'!$G$3:$G$105,'TCO TO BE- SW'!$D11,'Rozpočet - HW a licencie'!$D$3:$D$105,$B$6),)</f>
        <v>0</v>
      </c>
      <c r="P11" s="577">
        <f>IFERROR(SUMIFS('Rozpočet - HW a licencie'!$I$3:$I$105,'Rozpočet - HW a licencie'!$A$3:$A$105,'TCO TO BE- SW'!P$2,'Rozpočet - HW a licencie'!$C$3:$C$105,"SW",'Rozpočet - HW a licencie'!$G$3:$G$105,'TCO TO BE- SW'!$D11,'Rozpočet - HW a licencie'!$D$3:$D$105,$B$6),)</f>
        <v>0</v>
      </c>
      <c r="Q11" s="577">
        <f>IFERROR(SUMIFS('Rozpočet - HW a licencie'!$I$3:$I$105,'Rozpočet - HW a licencie'!$A$3:$A$105,'TCO TO BE- SW'!Q$2,'Rozpočet - HW a licencie'!$C$3:$C$105,"SW",'Rozpočet - HW a licencie'!$G$3:$G$105,'TCO TO BE- SW'!$D11,'Rozpočet - HW a licencie'!$D$3:$D$105,$B$6),)</f>
        <v>0</v>
      </c>
      <c r="R11" s="577">
        <f>IFERROR(SUMIFS('Rozpočet - HW a licencie'!$I$3:$I$105,'Rozpočet - HW a licencie'!$A$3:$A$105,'TCO TO BE- SW'!R$2,'Rozpočet - HW a licencie'!$C$3:$C$105,"SW",'Rozpočet - HW a licencie'!$G$3:$G$105,'TCO TO BE- SW'!$D11,'Rozpočet - HW a licencie'!$D$3:$D$105,$B$6),)</f>
        <v>0</v>
      </c>
      <c r="S11" s="577">
        <f>IFERROR(SUMIFS('Rozpočet - HW a licencie'!$I$3:$I$105,'Rozpočet - HW a licencie'!$A$3:$A$105,'TCO TO BE- SW'!S$2,'Rozpočet - HW a licencie'!$C$3:$C$105,"SW",'Rozpočet - HW a licencie'!$G$3:$G$105,'TCO TO BE- SW'!$D11,'Rozpočet - HW a licencie'!$D$3:$D$105,$B$6),)</f>
        <v>0</v>
      </c>
      <c r="T11" s="577">
        <f>IFERROR(SUMIFS('Rozpočet - HW a licencie'!$I$3:$I$105,'Rozpočet - HW a licencie'!$A$3:$A$105,'TCO TO BE- SW'!T$2,'Rozpočet - HW a licencie'!$C$3:$C$105,"SW",'Rozpočet - HW a licencie'!$G$3:$G$105,'TCO TO BE- SW'!$D11,'Rozpočet - HW a licencie'!$D$3:$D$105,$B$6),)</f>
        <v>0</v>
      </c>
      <c r="U11" s="577">
        <f>IFERROR(SUMIFS('Rozpočet - HW a licencie'!$I$3:$I$105,'Rozpočet - HW a licencie'!$A$3:$A$105,'TCO TO BE- SW'!U$2,'Rozpočet - HW a licencie'!$C$3:$C$105,"SW",'Rozpočet - HW a licencie'!$G$3:$G$105,'TCO TO BE- SW'!$D11,'Rozpočet - HW a licencie'!$D$3:$D$105,$B$6),)</f>
        <v>0</v>
      </c>
      <c r="V11" s="577">
        <f>IFERROR(SUMIFS('Rozpočet - HW a licencie'!$I$3:$I$105,'Rozpočet - HW a licencie'!$A$3:$A$105,'TCO TO BE- SW'!V$2,'Rozpočet - HW a licencie'!$C$3:$C$105,"SW",'Rozpočet - HW a licencie'!$G$3:$G$105,'TCO TO BE- SW'!$D11,'Rozpočet - HW a licencie'!$D$3:$D$105,$B$6),)</f>
        <v>0</v>
      </c>
      <c r="W11" s="577">
        <f>IFERROR(SUMIFS('Rozpočet - HW a licencie'!$I$3:$I$105,'Rozpočet - HW a licencie'!$A$3:$A$105,'TCO TO BE- SW'!W$2,'Rozpočet - HW a licencie'!$C$3:$C$105,"SW",'Rozpočet - HW a licencie'!$G$3:$G$105,'TCO TO BE- SW'!$D11,'Rozpočet - HW a licencie'!$D$3:$D$105,$B$6),)</f>
        <v>0</v>
      </c>
      <c r="X11" s="577">
        <f>IFERROR(SUMIFS('Rozpočet - HW a licencie'!$I$3:$I$105,'Rozpočet - HW a licencie'!$A$3:$A$105,'TCO TO BE- SW'!X$2,'Rozpočet - HW a licencie'!$C$3:$C$105,"SW",'Rozpočet - HW a licencie'!$G$3:$G$105,'TCO TO BE- SW'!$D11,'Rozpočet - HW a licencie'!$D$3:$D$105,$B$6),)</f>
        <v>0</v>
      </c>
      <c r="Y11" s="577">
        <f>IFERROR(SUMIFS('Rozpočet - HW a licencie'!$I$3:$I$105,'Rozpočet - HW a licencie'!$A$3:$A$105,'TCO TO BE- SW'!Y$2,'Rozpočet - HW a licencie'!$C$3:$C$105,"SW",'Rozpočet - HW a licencie'!$G$3:$G$105,'TCO TO BE- SW'!$D11,'Rozpočet - HW a licencie'!$D$3:$D$105,$B$6),)</f>
        <v>0</v>
      </c>
      <c r="Z11" s="577">
        <f>IFERROR(SUMIFS('Rozpočet - HW a licencie'!$I$3:$I$105,'Rozpočet - HW a licencie'!$A$3:$A$105,'TCO TO BE- SW'!Z$2,'Rozpočet - HW a licencie'!$C$3:$C$105,"SW",'Rozpočet - HW a licencie'!$G$3:$G$105,'TCO TO BE- SW'!$D11,'Rozpočet - HW a licencie'!$D$3:$D$105,$B$6),)</f>
        <v>0</v>
      </c>
    </row>
    <row r="12" spans="1:26" outlineLevel="2">
      <c r="A12" s="824"/>
      <c r="B12" s="825"/>
      <c r="C12" s="825"/>
      <c r="D12" s="64">
        <v>7</v>
      </c>
      <c r="E12" s="61">
        <f t="shared" si="4"/>
        <v>0</v>
      </c>
      <c r="F12" s="672">
        <v>0</v>
      </c>
      <c r="G12" s="672">
        <v>0</v>
      </c>
      <c r="H12" s="577">
        <f>0</f>
        <v>0</v>
      </c>
      <c r="I12" s="577">
        <v>0</v>
      </c>
      <c r="J12" s="577">
        <f>IFERROR(SUMIFS('Rozpočet - HW a licencie'!$I$3:$I$105,'Rozpočet - HW a licencie'!$A$3:$A$105,'TCO TO BE- SW'!J$2,'Rozpočet - HW a licencie'!$C$3:$C$105,"SW",'Rozpočet - HW a licencie'!$G$3:$G$105,'TCO TO BE- SW'!$D12,'Rozpočet - HW a licencie'!$D$3:$D$105,$B$6),)</f>
        <v>0</v>
      </c>
      <c r="K12" s="577">
        <f>IFERROR(SUMIFS('Rozpočet - HW a licencie'!$I$3:$I$105,'Rozpočet - HW a licencie'!$A$3:$A$105,'TCO TO BE- SW'!K$2,'Rozpočet - HW a licencie'!$C$3:$C$105,"SW",'Rozpočet - HW a licencie'!$G$3:$G$105,'TCO TO BE- SW'!$D12,'Rozpočet - HW a licencie'!$D$3:$D$105,$B$6),)</f>
        <v>0</v>
      </c>
      <c r="L12" s="577">
        <f>IFERROR(SUMIFS('Rozpočet - HW a licencie'!$I$3:$I$105,'Rozpočet - HW a licencie'!$A$3:$A$105,'TCO TO BE- SW'!L$2,'Rozpočet - HW a licencie'!$C$3:$C$105,"SW",'Rozpočet - HW a licencie'!$G$3:$G$105,'TCO TO BE- SW'!$D12,'Rozpočet - HW a licencie'!$D$3:$D$105,$B$6),)</f>
        <v>0</v>
      </c>
      <c r="M12" s="577">
        <f>IFERROR(SUMIFS('Rozpočet - HW a licencie'!$I$3:$I$105,'Rozpočet - HW a licencie'!$A$3:$A$105,'TCO TO BE- SW'!M$2,'Rozpočet - HW a licencie'!$C$3:$C$105,"SW",'Rozpočet - HW a licencie'!$G$3:$G$105,'TCO TO BE- SW'!$D12,'Rozpočet - HW a licencie'!$D$3:$D$105,$B$6),)</f>
        <v>0</v>
      </c>
      <c r="N12" s="577">
        <f>IFERROR(SUMIFS('Rozpočet - HW a licencie'!$I$3:$I$105,'Rozpočet - HW a licencie'!$A$3:$A$105,'TCO TO BE- SW'!N$2,'Rozpočet - HW a licencie'!$C$3:$C$105,"SW",'Rozpočet - HW a licencie'!$G$3:$G$105,'TCO TO BE- SW'!$D12,'Rozpočet - HW a licencie'!$D$3:$D$105,$B$6),)</f>
        <v>0</v>
      </c>
      <c r="O12" s="577">
        <f>IFERROR(SUMIFS('Rozpočet - HW a licencie'!$I$3:$I$105,'Rozpočet - HW a licencie'!$A$3:$A$105,'TCO TO BE- SW'!O$2,'Rozpočet - HW a licencie'!$C$3:$C$105,"SW",'Rozpočet - HW a licencie'!$G$3:$G$105,'TCO TO BE- SW'!$D12,'Rozpočet - HW a licencie'!$D$3:$D$105,$B$6),)</f>
        <v>0</v>
      </c>
      <c r="P12" s="577">
        <f>IFERROR(SUMIFS('Rozpočet - HW a licencie'!$I$3:$I$105,'Rozpočet - HW a licencie'!$A$3:$A$105,'TCO TO BE- SW'!P$2,'Rozpočet - HW a licencie'!$C$3:$C$105,"SW",'Rozpočet - HW a licencie'!$G$3:$G$105,'TCO TO BE- SW'!$D12,'Rozpočet - HW a licencie'!$D$3:$D$105,$B$6),)</f>
        <v>0</v>
      </c>
      <c r="Q12" s="577">
        <f>IFERROR(SUMIFS('Rozpočet - HW a licencie'!$I$3:$I$105,'Rozpočet - HW a licencie'!$A$3:$A$105,'TCO TO BE- SW'!Q$2,'Rozpočet - HW a licencie'!$C$3:$C$105,"SW",'Rozpočet - HW a licencie'!$G$3:$G$105,'TCO TO BE- SW'!$D12,'Rozpočet - HW a licencie'!$D$3:$D$105,$B$6),)</f>
        <v>0</v>
      </c>
      <c r="R12" s="577">
        <f>IFERROR(SUMIFS('Rozpočet - HW a licencie'!$I$3:$I$105,'Rozpočet - HW a licencie'!$A$3:$A$105,'TCO TO BE- SW'!R$2,'Rozpočet - HW a licencie'!$C$3:$C$105,"SW",'Rozpočet - HW a licencie'!$G$3:$G$105,'TCO TO BE- SW'!$D12,'Rozpočet - HW a licencie'!$D$3:$D$105,$B$6),)</f>
        <v>0</v>
      </c>
      <c r="S12" s="577">
        <f>IFERROR(SUMIFS('Rozpočet - HW a licencie'!$I$3:$I$105,'Rozpočet - HW a licencie'!$A$3:$A$105,'TCO TO BE- SW'!S$2,'Rozpočet - HW a licencie'!$C$3:$C$105,"SW",'Rozpočet - HW a licencie'!$G$3:$G$105,'TCO TO BE- SW'!$D12,'Rozpočet - HW a licencie'!$D$3:$D$105,$B$6),)</f>
        <v>0</v>
      </c>
      <c r="T12" s="577">
        <f>IFERROR(SUMIFS('Rozpočet - HW a licencie'!$I$3:$I$105,'Rozpočet - HW a licencie'!$A$3:$A$105,'TCO TO BE- SW'!T$2,'Rozpočet - HW a licencie'!$C$3:$C$105,"SW",'Rozpočet - HW a licencie'!$G$3:$G$105,'TCO TO BE- SW'!$D12,'Rozpočet - HW a licencie'!$D$3:$D$105,$B$6),)</f>
        <v>0</v>
      </c>
      <c r="U12" s="577">
        <f>IFERROR(SUMIFS('Rozpočet - HW a licencie'!$I$3:$I$105,'Rozpočet - HW a licencie'!$A$3:$A$105,'TCO TO BE- SW'!U$2,'Rozpočet - HW a licencie'!$C$3:$C$105,"SW",'Rozpočet - HW a licencie'!$G$3:$G$105,'TCO TO BE- SW'!$D12,'Rozpočet - HW a licencie'!$D$3:$D$105,$B$6),)</f>
        <v>0</v>
      </c>
      <c r="V12" s="577">
        <f>IFERROR(SUMIFS('Rozpočet - HW a licencie'!$I$3:$I$105,'Rozpočet - HW a licencie'!$A$3:$A$105,'TCO TO BE- SW'!V$2,'Rozpočet - HW a licencie'!$C$3:$C$105,"SW",'Rozpočet - HW a licencie'!$G$3:$G$105,'TCO TO BE- SW'!$D12,'Rozpočet - HW a licencie'!$D$3:$D$105,$B$6),)</f>
        <v>0</v>
      </c>
      <c r="W12" s="577">
        <f>IFERROR(SUMIFS('Rozpočet - HW a licencie'!$I$3:$I$105,'Rozpočet - HW a licencie'!$A$3:$A$105,'TCO TO BE- SW'!W$2,'Rozpočet - HW a licencie'!$C$3:$C$105,"SW",'Rozpočet - HW a licencie'!$G$3:$G$105,'TCO TO BE- SW'!$D12,'Rozpočet - HW a licencie'!$D$3:$D$105,$B$6),)</f>
        <v>0</v>
      </c>
      <c r="X12" s="577">
        <f>IFERROR(SUMIFS('Rozpočet - HW a licencie'!$I$3:$I$105,'Rozpočet - HW a licencie'!$A$3:$A$105,'TCO TO BE- SW'!X$2,'Rozpočet - HW a licencie'!$C$3:$C$105,"SW",'Rozpočet - HW a licencie'!$G$3:$G$105,'TCO TO BE- SW'!$D12,'Rozpočet - HW a licencie'!$D$3:$D$105,$B$6),)</f>
        <v>0</v>
      </c>
      <c r="Y12" s="577">
        <f>IFERROR(SUMIFS('Rozpočet - HW a licencie'!$I$3:$I$105,'Rozpočet - HW a licencie'!$A$3:$A$105,'TCO TO BE- SW'!Y$2,'Rozpočet - HW a licencie'!$C$3:$C$105,"SW",'Rozpočet - HW a licencie'!$G$3:$G$105,'TCO TO BE- SW'!$D12,'Rozpočet - HW a licencie'!$D$3:$D$105,$B$6),)</f>
        <v>0</v>
      </c>
      <c r="Z12" s="577">
        <f>IFERROR(SUMIFS('Rozpočet - HW a licencie'!$I$3:$I$105,'Rozpočet - HW a licencie'!$A$3:$A$105,'TCO TO BE- SW'!Z$2,'Rozpočet - HW a licencie'!$C$3:$C$105,"SW",'Rozpočet - HW a licencie'!$G$3:$G$105,'TCO TO BE- SW'!$D12,'Rozpočet - HW a licencie'!$D$3:$D$105,$B$6),)</f>
        <v>0</v>
      </c>
    </row>
    <row r="13" spans="1:26" outlineLevel="2">
      <c r="A13" s="824"/>
      <c r="B13" s="825"/>
      <c r="C13" s="825"/>
      <c r="D13" s="64">
        <v>8</v>
      </c>
      <c r="E13" s="61">
        <f t="shared" si="4"/>
        <v>0</v>
      </c>
      <c r="F13" s="672">
        <v>0</v>
      </c>
      <c r="G13" s="672">
        <v>0</v>
      </c>
      <c r="H13" s="577">
        <f>0</f>
        <v>0</v>
      </c>
      <c r="I13" s="577">
        <v>0</v>
      </c>
      <c r="J13" s="577">
        <f>IFERROR(SUMIFS('Rozpočet - HW a licencie'!$I$3:$I$105,'Rozpočet - HW a licencie'!$A$3:$A$105,'TCO TO BE- SW'!J$2,'Rozpočet - HW a licencie'!$C$3:$C$105,"SW",'Rozpočet - HW a licencie'!$G$3:$G$105,'TCO TO BE- SW'!$D13,'Rozpočet - HW a licencie'!$D$3:$D$105,$B$6),)</f>
        <v>0</v>
      </c>
      <c r="K13" s="577">
        <f>IFERROR(SUMIFS('Rozpočet - HW a licencie'!$I$3:$I$105,'Rozpočet - HW a licencie'!$A$3:$A$105,'TCO TO BE- SW'!K$2,'Rozpočet - HW a licencie'!$C$3:$C$105,"SW",'Rozpočet - HW a licencie'!$G$3:$G$105,'TCO TO BE- SW'!$D13,'Rozpočet - HW a licencie'!$D$3:$D$105,$B$6),)</f>
        <v>0</v>
      </c>
      <c r="L13" s="577">
        <f>IFERROR(SUMIFS('Rozpočet - HW a licencie'!$I$3:$I$105,'Rozpočet - HW a licencie'!$A$3:$A$105,'TCO TO BE- SW'!L$2,'Rozpočet - HW a licencie'!$C$3:$C$105,"SW",'Rozpočet - HW a licencie'!$G$3:$G$105,'TCO TO BE- SW'!$D13,'Rozpočet - HW a licencie'!$D$3:$D$105,$B$6),)</f>
        <v>0</v>
      </c>
      <c r="M13" s="577">
        <f>IFERROR(SUMIFS('Rozpočet - HW a licencie'!$I$3:$I$105,'Rozpočet - HW a licencie'!$A$3:$A$105,'TCO TO BE- SW'!M$2,'Rozpočet - HW a licencie'!$C$3:$C$105,"SW",'Rozpočet - HW a licencie'!$G$3:$G$105,'TCO TO BE- SW'!$D13,'Rozpočet - HW a licencie'!$D$3:$D$105,$B$6),)</f>
        <v>0</v>
      </c>
      <c r="N13" s="577">
        <f>IFERROR(SUMIFS('Rozpočet - HW a licencie'!$I$3:$I$105,'Rozpočet - HW a licencie'!$A$3:$A$105,'TCO TO BE- SW'!N$2,'Rozpočet - HW a licencie'!$C$3:$C$105,"SW",'Rozpočet - HW a licencie'!$G$3:$G$105,'TCO TO BE- SW'!$D13,'Rozpočet - HW a licencie'!$D$3:$D$105,$B$6),)</f>
        <v>0</v>
      </c>
      <c r="O13" s="577">
        <f>IFERROR(SUMIFS('Rozpočet - HW a licencie'!$I$3:$I$105,'Rozpočet - HW a licencie'!$A$3:$A$105,'TCO TO BE- SW'!O$2,'Rozpočet - HW a licencie'!$C$3:$C$105,"SW",'Rozpočet - HW a licencie'!$G$3:$G$105,'TCO TO BE- SW'!$D13,'Rozpočet - HW a licencie'!$D$3:$D$105,$B$6),)</f>
        <v>0</v>
      </c>
      <c r="P13" s="577">
        <f>IFERROR(SUMIFS('Rozpočet - HW a licencie'!$I$3:$I$105,'Rozpočet - HW a licencie'!$A$3:$A$105,'TCO TO BE- SW'!P$2,'Rozpočet - HW a licencie'!$C$3:$C$105,"SW",'Rozpočet - HW a licencie'!$G$3:$G$105,'TCO TO BE- SW'!$D13,'Rozpočet - HW a licencie'!$D$3:$D$105,$B$6),)</f>
        <v>0</v>
      </c>
      <c r="Q13" s="577">
        <f>IFERROR(SUMIFS('Rozpočet - HW a licencie'!$I$3:$I$105,'Rozpočet - HW a licencie'!$A$3:$A$105,'TCO TO BE- SW'!Q$2,'Rozpočet - HW a licencie'!$C$3:$C$105,"SW",'Rozpočet - HW a licencie'!$G$3:$G$105,'TCO TO BE- SW'!$D13,'Rozpočet - HW a licencie'!$D$3:$D$105,$B$6),)</f>
        <v>0</v>
      </c>
      <c r="R13" s="577">
        <f>IFERROR(SUMIFS('Rozpočet - HW a licencie'!$I$3:$I$105,'Rozpočet - HW a licencie'!$A$3:$A$105,'TCO TO BE- SW'!R$2,'Rozpočet - HW a licencie'!$C$3:$C$105,"SW",'Rozpočet - HW a licencie'!$G$3:$G$105,'TCO TO BE- SW'!$D13,'Rozpočet - HW a licencie'!$D$3:$D$105,$B$6),)</f>
        <v>0</v>
      </c>
      <c r="S13" s="577">
        <f>IFERROR(SUMIFS('Rozpočet - HW a licencie'!$I$3:$I$105,'Rozpočet - HW a licencie'!$A$3:$A$105,'TCO TO BE- SW'!S$2,'Rozpočet - HW a licencie'!$C$3:$C$105,"SW",'Rozpočet - HW a licencie'!$G$3:$G$105,'TCO TO BE- SW'!$D13,'Rozpočet - HW a licencie'!$D$3:$D$105,$B$6),)</f>
        <v>0</v>
      </c>
      <c r="T13" s="577">
        <f>IFERROR(SUMIFS('Rozpočet - HW a licencie'!$I$3:$I$105,'Rozpočet - HW a licencie'!$A$3:$A$105,'TCO TO BE- SW'!T$2,'Rozpočet - HW a licencie'!$C$3:$C$105,"SW",'Rozpočet - HW a licencie'!$G$3:$G$105,'TCO TO BE- SW'!$D13,'Rozpočet - HW a licencie'!$D$3:$D$105,$B$6),)</f>
        <v>0</v>
      </c>
      <c r="U13" s="577">
        <f>IFERROR(SUMIFS('Rozpočet - HW a licencie'!$I$3:$I$105,'Rozpočet - HW a licencie'!$A$3:$A$105,'TCO TO BE- SW'!U$2,'Rozpočet - HW a licencie'!$C$3:$C$105,"SW",'Rozpočet - HW a licencie'!$G$3:$G$105,'TCO TO BE- SW'!$D13,'Rozpočet - HW a licencie'!$D$3:$D$105,$B$6),)</f>
        <v>0</v>
      </c>
      <c r="V13" s="577">
        <f>IFERROR(SUMIFS('Rozpočet - HW a licencie'!$I$3:$I$105,'Rozpočet - HW a licencie'!$A$3:$A$105,'TCO TO BE- SW'!V$2,'Rozpočet - HW a licencie'!$C$3:$C$105,"SW",'Rozpočet - HW a licencie'!$G$3:$G$105,'TCO TO BE- SW'!$D13,'Rozpočet - HW a licencie'!$D$3:$D$105,$B$6),)</f>
        <v>0</v>
      </c>
      <c r="W13" s="577">
        <f>IFERROR(SUMIFS('Rozpočet - HW a licencie'!$I$3:$I$105,'Rozpočet - HW a licencie'!$A$3:$A$105,'TCO TO BE- SW'!W$2,'Rozpočet - HW a licencie'!$C$3:$C$105,"SW",'Rozpočet - HW a licencie'!$G$3:$G$105,'TCO TO BE- SW'!$D13,'Rozpočet - HW a licencie'!$D$3:$D$105,$B$6),)</f>
        <v>0</v>
      </c>
      <c r="X13" s="577">
        <f>IFERROR(SUMIFS('Rozpočet - HW a licencie'!$I$3:$I$105,'Rozpočet - HW a licencie'!$A$3:$A$105,'TCO TO BE- SW'!X$2,'Rozpočet - HW a licencie'!$C$3:$C$105,"SW",'Rozpočet - HW a licencie'!$G$3:$G$105,'TCO TO BE- SW'!$D13,'Rozpočet - HW a licencie'!$D$3:$D$105,$B$6),)</f>
        <v>0</v>
      </c>
      <c r="Y13" s="577">
        <f>IFERROR(SUMIFS('Rozpočet - HW a licencie'!$I$3:$I$105,'Rozpočet - HW a licencie'!$A$3:$A$105,'TCO TO BE- SW'!Y$2,'Rozpočet - HW a licencie'!$C$3:$C$105,"SW",'Rozpočet - HW a licencie'!$G$3:$G$105,'TCO TO BE- SW'!$D13,'Rozpočet - HW a licencie'!$D$3:$D$105,$B$6),)</f>
        <v>0</v>
      </c>
      <c r="Z13" s="577">
        <f>IFERROR(SUMIFS('Rozpočet - HW a licencie'!$I$3:$I$105,'Rozpočet - HW a licencie'!$A$3:$A$105,'TCO TO BE- SW'!Z$2,'Rozpočet - HW a licencie'!$C$3:$C$105,"SW",'Rozpočet - HW a licencie'!$G$3:$G$105,'TCO TO BE- SW'!$D13,'Rozpočet - HW a licencie'!$D$3:$D$105,$B$6),)</f>
        <v>0</v>
      </c>
    </row>
    <row r="14" spans="1:26" outlineLevel="2">
      <c r="A14" s="824"/>
      <c r="B14" s="825"/>
      <c r="C14" s="825"/>
      <c r="D14" s="64">
        <v>9</v>
      </c>
      <c r="E14" s="61">
        <f t="shared" si="4"/>
        <v>0</v>
      </c>
      <c r="F14" s="672">
        <v>0</v>
      </c>
      <c r="G14" s="672">
        <v>0</v>
      </c>
      <c r="H14" s="577">
        <f>0</f>
        <v>0</v>
      </c>
      <c r="I14" s="577">
        <v>0</v>
      </c>
      <c r="J14" s="577">
        <f>IFERROR(SUMIFS('Rozpočet - HW a licencie'!$I$3:$I$105,'Rozpočet - HW a licencie'!$A$3:$A$105,'TCO TO BE- SW'!J$2,'Rozpočet - HW a licencie'!$C$3:$C$105,"SW",'Rozpočet - HW a licencie'!$G$3:$G$105,'TCO TO BE- SW'!$D14,'Rozpočet - HW a licencie'!$D$3:$D$105,$B$6),)</f>
        <v>0</v>
      </c>
      <c r="K14" s="577">
        <f>IFERROR(SUMIFS('Rozpočet - HW a licencie'!$I$3:$I$105,'Rozpočet - HW a licencie'!$A$3:$A$105,'TCO TO BE- SW'!K$2,'Rozpočet - HW a licencie'!$C$3:$C$105,"SW",'Rozpočet - HW a licencie'!$G$3:$G$105,'TCO TO BE- SW'!$D14,'Rozpočet - HW a licencie'!$D$3:$D$105,$B$6),)</f>
        <v>0</v>
      </c>
      <c r="L14" s="577">
        <f>IFERROR(SUMIFS('Rozpočet - HW a licencie'!$I$3:$I$105,'Rozpočet - HW a licencie'!$A$3:$A$105,'TCO TO BE- SW'!L$2,'Rozpočet - HW a licencie'!$C$3:$C$105,"SW",'Rozpočet - HW a licencie'!$G$3:$G$105,'TCO TO BE- SW'!$D14,'Rozpočet - HW a licencie'!$D$3:$D$105,$B$6),)</f>
        <v>0</v>
      </c>
      <c r="M14" s="577">
        <f>IFERROR(SUMIFS('Rozpočet - HW a licencie'!$I$3:$I$105,'Rozpočet - HW a licencie'!$A$3:$A$105,'TCO TO BE- SW'!M$2,'Rozpočet - HW a licencie'!$C$3:$C$105,"SW",'Rozpočet - HW a licencie'!$G$3:$G$105,'TCO TO BE- SW'!$D14,'Rozpočet - HW a licencie'!$D$3:$D$105,$B$6),)</f>
        <v>0</v>
      </c>
      <c r="N14" s="577">
        <f>IFERROR(SUMIFS('Rozpočet - HW a licencie'!$I$3:$I$105,'Rozpočet - HW a licencie'!$A$3:$A$105,'TCO TO BE- SW'!N$2,'Rozpočet - HW a licencie'!$C$3:$C$105,"SW",'Rozpočet - HW a licencie'!$G$3:$G$105,'TCO TO BE- SW'!$D14,'Rozpočet - HW a licencie'!$D$3:$D$105,$B$6),)</f>
        <v>0</v>
      </c>
      <c r="O14" s="577">
        <f>IFERROR(SUMIFS('Rozpočet - HW a licencie'!$I$3:$I$105,'Rozpočet - HW a licencie'!$A$3:$A$105,'TCO TO BE- SW'!O$2,'Rozpočet - HW a licencie'!$C$3:$C$105,"SW",'Rozpočet - HW a licencie'!$G$3:$G$105,'TCO TO BE- SW'!$D14,'Rozpočet - HW a licencie'!$D$3:$D$105,$B$6),)</f>
        <v>0</v>
      </c>
      <c r="P14" s="577">
        <f>IFERROR(SUMIFS('Rozpočet - HW a licencie'!$I$3:$I$105,'Rozpočet - HW a licencie'!$A$3:$A$105,'TCO TO BE- SW'!P$2,'Rozpočet - HW a licencie'!$C$3:$C$105,"SW",'Rozpočet - HW a licencie'!$G$3:$G$105,'TCO TO BE- SW'!$D14,'Rozpočet - HW a licencie'!$D$3:$D$105,$B$6),)</f>
        <v>0</v>
      </c>
      <c r="Q14" s="577">
        <f>IFERROR(SUMIFS('Rozpočet - HW a licencie'!$I$3:$I$105,'Rozpočet - HW a licencie'!$A$3:$A$105,'TCO TO BE- SW'!Q$2,'Rozpočet - HW a licencie'!$C$3:$C$105,"SW",'Rozpočet - HW a licencie'!$G$3:$G$105,'TCO TO BE- SW'!$D14,'Rozpočet - HW a licencie'!$D$3:$D$105,$B$6),)</f>
        <v>0</v>
      </c>
      <c r="R14" s="577">
        <f>IFERROR(SUMIFS('Rozpočet - HW a licencie'!$I$3:$I$105,'Rozpočet - HW a licencie'!$A$3:$A$105,'TCO TO BE- SW'!R$2,'Rozpočet - HW a licencie'!$C$3:$C$105,"SW",'Rozpočet - HW a licencie'!$G$3:$G$105,'TCO TO BE- SW'!$D14,'Rozpočet - HW a licencie'!$D$3:$D$105,$B$6),)</f>
        <v>0</v>
      </c>
      <c r="S14" s="577">
        <f>IFERROR(SUMIFS('Rozpočet - HW a licencie'!$I$3:$I$105,'Rozpočet - HW a licencie'!$A$3:$A$105,'TCO TO BE- SW'!S$2,'Rozpočet - HW a licencie'!$C$3:$C$105,"SW",'Rozpočet - HW a licencie'!$G$3:$G$105,'TCO TO BE- SW'!$D14,'Rozpočet - HW a licencie'!$D$3:$D$105,$B$6),)</f>
        <v>0</v>
      </c>
      <c r="T14" s="577">
        <f>IFERROR(SUMIFS('Rozpočet - HW a licencie'!$I$3:$I$105,'Rozpočet - HW a licencie'!$A$3:$A$105,'TCO TO BE- SW'!T$2,'Rozpočet - HW a licencie'!$C$3:$C$105,"SW",'Rozpočet - HW a licencie'!$G$3:$G$105,'TCO TO BE- SW'!$D14,'Rozpočet - HW a licencie'!$D$3:$D$105,$B$6),)</f>
        <v>0</v>
      </c>
      <c r="U14" s="577">
        <f>IFERROR(SUMIFS('Rozpočet - HW a licencie'!$I$3:$I$105,'Rozpočet - HW a licencie'!$A$3:$A$105,'TCO TO BE- SW'!U$2,'Rozpočet - HW a licencie'!$C$3:$C$105,"SW",'Rozpočet - HW a licencie'!$G$3:$G$105,'TCO TO BE- SW'!$D14,'Rozpočet - HW a licencie'!$D$3:$D$105,$B$6),)</f>
        <v>0</v>
      </c>
      <c r="V14" s="577">
        <f>IFERROR(SUMIFS('Rozpočet - HW a licencie'!$I$3:$I$105,'Rozpočet - HW a licencie'!$A$3:$A$105,'TCO TO BE- SW'!V$2,'Rozpočet - HW a licencie'!$C$3:$C$105,"SW",'Rozpočet - HW a licencie'!$G$3:$G$105,'TCO TO BE- SW'!$D14,'Rozpočet - HW a licencie'!$D$3:$D$105,$B$6),)</f>
        <v>0</v>
      </c>
      <c r="W14" s="577">
        <f>IFERROR(SUMIFS('Rozpočet - HW a licencie'!$I$3:$I$105,'Rozpočet - HW a licencie'!$A$3:$A$105,'TCO TO BE- SW'!W$2,'Rozpočet - HW a licencie'!$C$3:$C$105,"SW",'Rozpočet - HW a licencie'!$G$3:$G$105,'TCO TO BE- SW'!$D14,'Rozpočet - HW a licencie'!$D$3:$D$105,$B$6),)</f>
        <v>0</v>
      </c>
      <c r="X14" s="577">
        <f>IFERROR(SUMIFS('Rozpočet - HW a licencie'!$I$3:$I$105,'Rozpočet - HW a licencie'!$A$3:$A$105,'TCO TO BE- SW'!X$2,'Rozpočet - HW a licencie'!$C$3:$C$105,"SW",'Rozpočet - HW a licencie'!$G$3:$G$105,'TCO TO BE- SW'!$D14,'Rozpočet - HW a licencie'!$D$3:$D$105,$B$6),)</f>
        <v>0</v>
      </c>
      <c r="Y14" s="577">
        <f>IFERROR(SUMIFS('Rozpočet - HW a licencie'!$I$3:$I$105,'Rozpočet - HW a licencie'!$A$3:$A$105,'TCO TO BE- SW'!Y$2,'Rozpočet - HW a licencie'!$C$3:$C$105,"SW",'Rozpočet - HW a licencie'!$G$3:$G$105,'TCO TO BE- SW'!$D14,'Rozpočet - HW a licencie'!$D$3:$D$105,$B$6),)</f>
        <v>0</v>
      </c>
      <c r="Z14" s="577">
        <f>IFERROR(SUMIFS('Rozpočet - HW a licencie'!$I$3:$I$105,'Rozpočet - HW a licencie'!$A$3:$A$105,'TCO TO BE- SW'!Z$2,'Rozpočet - HW a licencie'!$C$3:$C$105,"SW",'Rozpočet - HW a licencie'!$G$3:$G$105,'TCO TO BE- SW'!$D14,'Rozpočet - HW a licencie'!$D$3:$D$105,$B$6),)</f>
        <v>0</v>
      </c>
    </row>
    <row r="15" spans="1:26" ht="15.75" outlineLevel="2" thickBot="1">
      <c r="A15" s="824"/>
      <c r="B15" s="825"/>
      <c r="C15" s="825"/>
      <c r="D15" s="65">
        <v>10</v>
      </c>
      <c r="E15" s="61">
        <f t="shared" si="4"/>
        <v>0</v>
      </c>
      <c r="F15" s="672">
        <v>0</v>
      </c>
      <c r="G15" s="672">
        <v>0</v>
      </c>
      <c r="H15" s="577">
        <f>0</f>
        <v>0</v>
      </c>
      <c r="I15" s="577">
        <v>0</v>
      </c>
      <c r="J15" s="578">
        <f>IFERROR(SUMIFS('Rozpočet - HW a licencie'!$I$3:$I$105,'Rozpočet - HW a licencie'!$A$3:$A$105,'TCO TO BE- SW'!J$2,'Rozpočet - HW a licencie'!$C$3:$C$105,"SW",'Rozpočet - HW a licencie'!$G$3:$G$105,'TCO TO BE- SW'!$D15,'Rozpočet - HW a licencie'!$D$3:$D$105,$B$6),)</f>
        <v>0</v>
      </c>
      <c r="K15" s="578">
        <f>IFERROR(SUMIFS('Rozpočet - HW a licencie'!$I$3:$I$105,'Rozpočet - HW a licencie'!$A$3:$A$105,'TCO TO BE- SW'!K$2,'Rozpočet - HW a licencie'!$C$3:$C$105,"SW",'Rozpočet - HW a licencie'!$G$3:$G$105,'TCO TO BE- SW'!$D15,'Rozpočet - HW a licencie'!$D$3:$D$105,$B$6),)</f>
        <v>0</v>
      </c>
      <c r="L15" s="578">
        <f>IFERROR(SUMIFS('Rozpočet - HW a licencie'!$I$3:$I$105,'Rozpočet - HW a licencie'!$A$3:$A$105,'TCO TO BE- SW'!L$2,'Rozpočet - HW a licencie'!$C$3:$C$105,"SW",'Rozpočet - HW a licencie'!$G$3:$G$105,'TCO TO BE- SW'!$D15,'Rozpočet - HW a licencie'!$D$3:$D$105,$B$6),)</f>
        <v>0</v>
      </c>
      <c r="M15" s="578">
        <f>IFERROR(SUMIFS('Rozpočet - HW a licencie'!$I$3:$I$105,'Rozpočet - HW a licencie'!$A$3:$A$105,'TCO TO BE- SW'!M$2,'Rozpočet - HW a licencie'!$C$3:$C$105,"SW",'Rozpočet - HW a licencie'!$G$3:$G$105,'TCO TO BE- SW'!$D15,'Rozpočet - HW a licencie'!$D$3:$D$105,$B$6),)</f>
        <v>0</v>
      </c>
      <c r="N15" s="578">
        <f>IFERROR(SUMIFS('Rozpočet - HW a licencie'!$I$3:$I$105,'Rozpočet - HW a licencie'!$A$3:$A$105,'TCO TO BE- SW'!N$2,'Rozpočet - HW a licencie'!$C$3:$C$105,"SW",'Rozpočet - HW a licencie'!$G$3:$G$105,'TCO TO BE- SW'!$D15,'Rozpočet - HW a licencie'!$D$3:$D$105,$B$6),)</f>
        <v>0</v>
      </c>
      <c r="O15" s="578">
        <f>IFERROR(SUMIFS('Rozpočet - HW a licencie'!$I$3:$I$105,'Rozpočet - HW a licencie'!$A$3:$A$105,'TCO TO BE- SW'!O$2,'Rozpočet - HW a licencie'!$C$3:$C$105,"SW",'Rozpočet - HW a licencie'!$G$3:$G$105,'TCO TO BE- SW'!$D15,'Rozpočet - HW a licencie'!$D$3:$D$105,$B$6),)</f>
        <v>0</v>
      </c>
      <c r="P15" s="578">
        <f>IFERROR(SUMIFS('Rozpočet - HW a licencie'!$I$3:$I$105,'Rozpočet - HW a licencie'!$A$3:$A$105,'TCO TO BE- SW'!P$2,'Rozpočet - HW a licencie'!$C$3:$C$105,"SW",'Rozpočet - HW a licencie'!$G$3:$G$105,'TCO TO BE- SW'!$D15,'Rozpočet - HW a licencie'!$D$3:$D$105,$B$6),)</f>
        <v>0</v>
      </c>
      <c r="Q15" s="578">
        <f>IFERROR(SUMIFS('Rozpočet - HW a licencie'!$I$3:$I$105,'Rozpočet - HW a licencie'!$A$3:$A$105,'TCO TO BE- SW'!Q$2,'Rozpočet - HW a licencie'!$C$3:$C$105,"SW",'Rozpočet - HW a licencie'!$G$3:$G$105,'TCO TO BE- SW'!$D15,'Rozpočet - HW a licencie'!$D$3:$D$105,$B$6),)</f>
        <v>0</v>
      </c>
      <c r="R15" s="578">
        <f>IFERROR(SUMIFS('Rozpočet - HW a licencie'!$I$3:$I$105,'Rozpočet - HW a licencie'!$A$3:$A$105,'TCO TO BE- SW'!R$2,'Rozpočet - HW a licencie'!$C$3:$C$105,"SW",'Rozpočet - HW a licencie'!$G$3:$G$105,'TCO TO BE- SW'!$D15,'Rozpočet - HW a licencie'!$D$3:$D$105,$B$6),)</f>
        <v>0</v>
      </c>
      <c r="S15" s="578">
        <f>IFERROR(SUMIFS('Rozpočet - HW a licencie'!$I$3:$I$105,'Rozpočet - HW a licencie'!$A$3:$A$105,'TCO TO BE- SW'!S$2,'Rozpočet - HW a licencie'!$C$3:$C$105,"SW",'Rozpočet - HW a licencie'!$G$3:$G$105,'TCO TO BE- SW'!$D15,'Rozpočet - HW a licencie'!$D$3:$D$105,$B$6),)</f>
        <v>0</v>
      </c>
      <c r="T15" s="578">
        <f>IFERROR(SUMIFS('Rozpočet - HW a licencie'!$I$3:$I$105,'Rozpočet - HW a licencie'!$A$3:$A$105,'TCO TO BE- SW'!T$2,'Rozpočet - HW a licencie'!$C$3:$C$105,"SW",'Rozpočet - HW a licencie'!$G$3:$G$105,'TCO TO BE- SW'!$D15,'Rozpočet - HW a licencie'!$D$3:$D$105,$B$6),)</f>
        <v>0</v>
      </c>
      <c r="U15" s="578">
        <f>IFERROR(SUMIFS('Rozpočet - HW a licencie'!$I$3:$I$105,'Rozpočet - HW a licencie'!$A$3:$A$105,'TCO TO BE- SW'!U$2,'Rozpočet - HW a licencie'!$C$3:$C$105,"SW",'Rozpočet - HW a licencie'!$G$3:$G$105,'TCO TO BE- SW'!$D15,'Rozpočet - HW a licencie'!$D$3:$D$105,$B$6),)</f>
        <v>0</v>
      </c>
      <c r="V15" s="578">
        <f>IFERROR(SUMIFS('Rozpočet - HW a licencie'!$I$3:$I$105,'Rozpočet - HW a licencie'!$A$3:$A$105,'TCO TO BE- SW'!V$2,'Rozpočet - HW a licencie'!$C$3:$C$105,"SW",'Rozpočet - HW a licencie'!$G$3:$G$105,'TCO TO BE- SW'!$D15,'Rozpočet - HW a licencie'!$D$3:$D$105,$B$6),)</f>
        <v>0</v>
      </c>
      <c r="W15" s="578">
        <f>IFERROR(SUMIFS('Rozpočet - HW a licencie'!$I$3:$I$105,'Rozpočet - HW a licencie'!$A$3:$A$105,'TCO TO BE- SW'!W$2,'Rozpočet - HW a licencie'!$C$3:$C$105,"SW",'Rozpočet - HW a licencie'!$G$3:$G$105,'TCO TO BE- SW'!$D15,'Rozpočet - HW a licencie'!$D$3:$D$105,$B$6),)</f>
        <v>0</v>
      </c>
      <c r="X15" s="578">
        <f>IFERROR(SUMIFS('Rozpočet - HW a licencie'!$I$3:$I$105,'Rozpočet - HW a licencie'!$A$3:$A$105,'TCO TO BE- SW'!X$2,'Rozpočet - HW a licencie'!$C$3:$C$105,"SW",'Rozpočet - HW a licencie'!$G$3:$G$105,'TCO TO BE- SW'!$D15,'Rozpočet - HW a licencie'!$D$3:$D$105,$B$6),)</f>
        <v>0</v>
      </c>
      <c r="Y15" s="578">
        <f>IFERROR(SUMIFS('Rozpočet - HW a licencie'!$I$3:$I$105,'Rozpočet - HW a licencie'!$A$3:$A$105,'TCO TO BE- SW'!Y$2,'Rozpočet - HW a licencie'!$C$3:$C$105,"SW",'Rozpočet - HW a licencie'!$G$3:$G$105,'TCO TO BE- SW'!$D15,'Rozpočet - HW a licencie'!$D$3:$D$105,$B$6),)</f>
        <v>0</v>
      </c>
      <c r="Z15" s="578">
        <f>IFERROR(SUMIFS('Rozpočet - HW a licencie'!$I$3:$I$105,'Rozpočet - HW a licencie'!$A$3:$A$105,'TCO TO BE- SW'!Z$2,'Rozpočet - HW a licencie'!$C$3:$C$105,"SW",'Rozpočet - HW a licencie'!$G$3:$G$105,'TCO TO BE- SW'!$D15,'Rozpočet - HW a licencie'!$D$3:$D$105,$B$6),)</f>
        <v>0</v>
      </c>
    </row>
    <row r="16" spans="1:26" outlineLevel="2">
      <c r="A16" s="824" t="s">
        <v>303</v>
      </c>
      <c r="B16" s="825" t="s">
        <v>529</v>
      </c>
      <c r="C16" s="825">
        <v>610</v>
      </c>
      <c r="D16" s="63">
        <v>1</v>
      </c>
      <c r="E16" s="60">
        <f t="shared" si="4"/>
        <v>0</v>
      </c>
      <c r="F16" s="579">
        <v>0</v>
      </c>
      <c r="G16" s="579">
        <v>0</v>
      </c>
      <c r="H16" s="579">
        <v>0</v>
      </c>
      <c r="I16" s="579">
        <v>0</v>
      </c>
      <c r="J16" s="579">
        <v>0</v>
      </c>
      <c r="K16" s="579">
        <v>0</v>
      </c>
      <c r="L16" s="579">
        <v>0</v>
      </c>
      <c r="M16" s="579">
        <v>0</v>
      </c>
      <c r="N16" s="579">
        <v>0</v>
      </c>
      <c r="O16" s="579">
        <v>0</v>
      </c>
      <c r="P16" s="579">
        <v>0</v>
      </c>
      <c r="Q16" s="579">
        <v>0</v>
      </c>
      <c r="R16" s="579">
        <v>0</v>
      </c>
      <c r="S16" s="579">
        <v>0</v>
      </c>
      <c r="T16" s="579">
        <v>0</v>
      </c>
      <c r="U16" s="579">
        <v>0</v>
      </c>
      <c r="V16" s="579">
        <v>0</v>
      </c>
      <c r="W16" s="579">
        <v>0</v>
      </c>
      <c r="X16" s="579">
        <v>0</v>
      </c>
      <c r="Y16" s="579">
        <v>0</v>
      </c>
      <c r="Z16" s="579">
        <v>0</v>
      </c>
    </row>
    <row r="17" spans="1:26" outlineLevel="2">
      <c r="A17" s="824"/>
      <c r="B17" s="825"/>
      <c r="C17" s="825"/>
      <c r="D17" s="64">
        <v>2</v>
      </c>
      <c r="E17" s="61">
        <f t="shared" si="4"/>
        <v>0</v>
      </c>
      <c r="F17" s="580">
        <v>0</v>
      </c>
      <c r="G17" s="580">
        <v>0</v>
      </c>
      <c r="H17" s="580">
        <v>0</v>
      </c>
      <c r="I17" s="580">
        <v>0</v>
      </c>
      <c r="J17" s="580">
        <v>0</v>
      </c>
      <c r="K17" s="580">
        <v>0</v>
      </c>
      <c r="L17" s="580">
        <v>0</v>
      </c>
      <c r="M17" s="580">
        <v>0</v>
      </c>
      <c r="N17" s="580">
        <v>0</v>
      </c>
      <c r="O17" s="580">
        <v>0</v>
      </c>
      <c r="P17" s="580">
        <v>0</v>
      </c>
      <c r="Q17" s="580">
        <v>0</v>
      </c>
      <c r="R17" s="580">
        <v>0</v>
      </c>
      <c r="S17" s="580">
        <v>0</v>
      </c>
      <c r="T17" s="580">
        <v>0</v>
      </c>
      <c r="U17" s="580">
        <v>0</v>
      </c>
      <c r="V17" s="580">
        <v>0</v>
      </c>
      <c r="W17" s="580">
        <v>0</v>
      </c>
      <c r="X17" s="580">
        <v>0</v>
      </c>
      <c r="Y17" s="580">
        <v>0</v>
      </c>
      <c r="Z17" s="580">
        <v>0</v>
      </c>
    </row>
    <row r="18" spans="1:26" outlineLevel="2">
      <c r="A18" s="824"/>
      <c r="B18" s="825"/>
      <c r="C18" s="825"/>
      <c r="D18" s="64">
        <v>3</v>
      </c>
      <c r="E18" s="61">
        <f t="shared" si="4"/>
        <v>0</v>
      </c>
      <c r="F18" s="580">
        <v>0</v>
      </c>
      <c r="G18" s="580">
        <v>0</v>
      </c>
      <c r="H18" s="580">
        <v>0</v>
      </c>
      <c r="I18" s="580">
        <v>0</v>
      </c>
      <c r="J18" s="580">
        <v>0</v>
      </c>
      <c r="K18" s="580">
        <v>0</v>
      </c>
      <c r="L18" s="580">
        <v>0</v>
      </c>
      <c r="M18" s="580">
        <v>0</v>
      </c>
      <c r="N18" s="580">
        <v>0</v>
      </c>
      <c r="O18" s="580">
        <v>0</v>
      </c>
      <c r="P18" s="580">
        <v>0</v>
      </c>
      <c r="Q18" s="580">
        <v>0</v>
      </c>
      <c r="R18" s="580">
        <v>0</v>
      </c>
      <c r="S18" s="580">
        <v>0</v>
      </c>
      <c r="T18" s="580">
        <v>0</v>
      </c>
      <c r="U18" s="580">
        <v>0</v>
      </c>
      <c r="V18" s="580">
        <v>0</v>
      </c>
      <c r="W18" s="580">
        <v>0</v>
      </c>
      <c r="X18" s="580">
        <v>0</v>
      </c>
      <c r="Y18" s="580">
        <v>0</v>
      </c>
      <c r="Z18" s="580">
        <v>0</v>
      </c>
    </row>
    <row r="19" spans="1:26" outlineLevel="2">
      <c r="A19" s="824"/>
      <c r="B19" s="825"/>
      <c r="C19" s="825"/>
      <c r="D19" s="64">
        <v>4</v>
      </c>
      <c r="E19" s="61">
        <f t="shared" si="4"/>
        <v>0</v>
      </c>
      <c r="F19" s="580">
        <v>0</v>
      </c>
      <c r="G19" s="580">
        <v>0</v>
      </c>
      <c r="H19" s="580">
        <v>0</v>
      </c>
      <c r="I19" s="580">
        <v>0</v>
      </c>
      <c r="J19" s="580">
        <v>0</v>
      </c>
      <c r="K19" s="580">
        <v>0</v>
      </c>
      <c r="L19" s="580">
        <v>0</v>
      </c>
      <c r="M19" s="580">
        <v>0</v>
      </c>
      <c r="N19" s="580">
        <v>0</v>
      </c>
      <c r="O19" s="580">
        <v>0</v>
      </c>
      <c r="P19" s="580">
        <v>0</v>
      </c>
      <c r="Q19" s="580">
        <v>0</v>
      </c>
      <c r="R19" s="580">
        <v>0</v>
      </c>
      <c r="S19" s="580">
        <v>0</v>
      </c>
      <c r="T19" s="580">
        <v>0</v>
      </c>
      <c r="U19" s="580">
        <v>0</v>
      </c>
      <c r="V19" s="580">
        <v>0</v>
      </c>
      <c r="W19" s="580">
        <v>0</v>
      </c>
      <c r="X19" s="580">
        <v>0</v>
      </c>
      <c r="Y19" s="580">
        <v>0</v>
      </c>
      <c r="Z19" s="580">
        <v>0</v>
      </c>
    </row>
    <row r="20" spans="1:26" outlineLevel="2">
      <c r="A20" s="824"/>
      <c r="B20" s="825"/>
      <c r="C20" s="825"/>
      <c r="D20" s="64">
        <v>5</v>
      </c>
      <c r="E20" s="61">
        <f t="shared" si="4"/>
        <v>0</v>
      </c>
      <c r="F20" s="580">
        <v>0</v>
      </c>
      <c r="G20" s="580">
        <v>0</v>
      </c>
      <c r="H20" s="580">
        <v>0</v>
      </c>
      <c r="I20" s="580">
        <v>0</v>
      </c>
      <c r="J20" s="580">
        <v>0</v>
      </c>
      <c r="K20" s="580">
        <v>0</v>
      </c>
      <c r="L20" s="580">
        <v>0</v>
      </c>
      <c r="M20" s="580">
        <v>0</v>
      </c>
      <c r="N20" s="580">
        <v>0</v>
      </c>
      <c r="O20" s="580">
        <v>0</v>
      </c>
      <c r="P20" s="580">
        <v>0</v>
      </c>
      <c r="Q20" s="580">
        <v>0</v>
      </c>
      <c r="R20" s="580">
        <v>0</v>
      </c>
      <c r="S20" s="580">
        <v>0</v>
      </c>
      <c r="T20" s="580">
        <v>0</v>
      </c>
      <c r="U20" s="580">
        <v>0</v>
      </c>
      <c r="V20" s="580">
        <v>0</v>
      </c>
      <c r="W20" s="580">
        <v>0</v>
      </c>
      <c r="X20" s="580">
        <v>0</v>
      </c>
      <c r="Y20" s="580">
        <v>0</v>
      </c>
      <c r="Z20" s="580">
        <v>0</v>
      </c>
    </row>
    <row r="21" spans="1:26" outlineLevel="2">
      <c r="A21" s="824"/>
      <c r="B21" s="825"/>
      <c r="C21" s="825"/>
      <c r="D21" s="64">
        <v>6</v>
      </c>
      <c r="E21" s="61">
        <f t="shared" si="4"/>
        <v>0</v>
      </c>
      <c r="F21" s="580">
        <v>0</v>
      </c>
      <c r="G21" s="580">
        <v>0</v>
      </c>
      <c r="H21" s="580">
        <v>0</v>
      </c>
      <c r="I21" s="580">
        <v>0</v>
      </c>
      <c r="J21" s="580">
        <v>0</v>
      </c>
      <c r="K21" s="580">
        <v>0</v>
      </c>
      <c r="L21" s="580">
        <v>0</v>
      </c>
      <c r="M21" s="580">
        <v>0</v>
      </c>
      <c r="N21" s="580">
        <v>0</v>
      </c>
      <c r="O21" s="580">
        <v>0</v>
      </c>
      <c r="P21" s="580">
        <v>0</v>
      </c>
      <c r="Q21" s="580">
        <v>0</v>
      </c>
      <c r="R21" s="580">
        <v>0</v>
      </c>
      <c r="S21" s="580">
        <v>0</v>
      </c>
      <c r="T21" s="580">
        <v>0</v>
      </c>
      <c r="U21" s="580">
        <v>0</v>
      </c>
      <c r="V21" s="580">
        <v>0</v>
      </c>
      <c r="W21" s="580">
        <v>0</v>
      </c>
      <c r="X21" s="580">
        <v>0</v>
      </c>
      <c r="Y21" s="580">
        <v>0</v>
      </c>
      <c r="Z21" s="580">
        <v>0</v>
      </c>
    </row>
    <row r="22" spans="1:26" outlineLevel="2">
      <c r="A22" s="824"/>
      <c r="B22" s="825"/>
      <c r="C22" s="825"/>
      <c r="D22" s="64">
        <v>7</v>
      </c>
      <c r="E22" s="61">
        <f t="shared" si="4"/>
        <v>0</v>
      </c>
      <c r="F22" s="580">
        <v>0</v>
      </c>
      <c r="G22" s="580">
        <v>0</v>
      </c>
      <c r="H22" s="580">
        <v>0</v>
      </c>
      <c r="I22" s="580">
        <v>0</v>
      </c>
      <c r="J22" s="580">
        <v>0</v>
      </c>
      <c r="K22" s="580">
        <v>0</v>
      </c>
      <c r="L22" s="580">
        <v>0</v>
      </c>
      <c r="M22" s="580">
        <v>0</v>
      </c>
      <c r="N22" s="580">
        <v>0</v>
      </c>
      <c r="O22" s="580">
        <v>0</v>
      </c>
      <c r="P22" s="580">
        <v>0</v>
      </c>
      <c r="Q22" s="580">
        <v>0</v>
      </c>
      <c r="R22" s="580">
        <v>0</v>
      </c>
      <c r="S22" s="580">
        <v>0</v>
      </c>
      <c r="T22" s="580">
        <v>0</v>
      </c>
      <c r="U22" s="580">
        <v>0</v>
      </c>
      <c r="V22" s="580">
        <v>0</v>
      </c>
      <c r="W22" s="580">
        <v>0</v>
      </c>
      <c r="X22" s="580">
        <v>0</v>
      </c>
      <c r="Y22" s="580">
        <v>0</v>
      </c>
      <c r="Z22" s="580">
        <v>0</v>
      </c>
    </row>
    <row r="23" spans="1:26" outlineLevel="2">
      <c r="A23" s="824"/>
      <c r="B23" s="825"/>
      <c r="C23" s="825"/>
      <c r="D23" s="64">
        <v>8</v>
      </c>
      <c r="E23" s="61">
        <f t="shared" si="4"/>
        <v>0</v>
      </c>
      <c r="F23" s="580">
        <v>0</v>
      </c>
      <c r="G23" s="580">
        <v>0</v>
      </c>
      <c r="H23" s="580">
        <v>0</v>
      </c>
      <c r="I23" s="580">
        <v>0</v>
      </c>
      <c r="J23" s="580">
        <v>0</v>
      </c>
      <c r="K23" s="580">
        <v>0</v>
      </c>
      <c r="L23" s="580">
        <v>0</v>
      </c>
      <c r="M23" s="580">
        <v>0</v>
      </c>
      <c r="N23" s="580">
        <v>0</v>
      </c>
      <c r="O23" s="580">
        <v>0</v>
      </c>
      <c r="P23" s="580">
        <v>0</v>
      </c>
      <c r="Q23" s="580">
        <v>0</v>
      </c>
      <c r="R23" s="580">
        <v>0</v>
      </c>
      <c r="S23" s="580">
        <v>0</v>
      </c>
      <c r="T23" s="580">
        <v>0</v>
      </c>
      <c r="U23" s="580">
        <v>0</v>
      </c>
      <c r="V23" s="580">
        <v>0</v>
      </c>
      <c r="W23" s="580">
        <v>0</v>
      </c>
      <c r="X23" s="580">
        <v>0</v>
      </c>
      <c r="Y23" s="580">
        <v>0</v>
      </c>
      <c r="Z23" s="580">
        <v>0</v>
      </c>
    </row>
    <row r="24" spans="1:26" outlineLevel="2">
      <c r="A24" s="824"/>
      <c r="B24" s="825"/>
      <c r="C24" s="825"/>
      <c r="D24" s="64">
        <v>9</v>
      </c>
      <c r="E24" s="61">
        <f t="shared" si="4"/>
        <v>0</v>
      </c>
      <c r="F24" s="580">
        <v>0</v>
      </c>
      <c r="G24" s="580">
        <v>0</v>
      </c>
      <c r="H24" s="580">
        <v>0</v>
      </c>
      <c r="I24" s="580">
        <v>0</v>
      </c>
      <c r="J24" s="580">
        <v>0</v>
      </c>
      <c r="K24" s="580">
        <v>0</v>
      </c>
      <c r="L24" s="580">
        <v>0</v>
      </c>
      <c r="M24" s="580">
        <v>0</v>
      </c>
      <c r="N24" s="580">
        <v>0</v>
      </c>
      <c r="O24" s="580">
        <v>0</v>
      </c>
      <c r="P24" s="580">
        <v>0</v>
      </c>
      <c r="Q24" s="580">
        <v>0</v>
      </c>
      <c r="R24" s="580">
        <v>0</v>
      </c>
      <c r="S24" s="580">
        <v>0</v>
      </c>
      <c r="T24" s="580">
        <v>0</v>
      </c>
      <c r="U24" s="580">
        <v>0</v>
      </c>
      <c r="V24" s="580">
        <v>0</v>
      </c>
      <c r="W24" s="580">
        <v>0</v>
      </c>
      <c r="X24" s="580">
        <v>0</v>
      </c>
      <c r="Y24" s="580">
        <v>0</v>
      </c>
      <c r="Z24" s="580">
        <v>0</v>
      </c>
    </row>
    <row r="25" spans="1:26" ht="15.75" outlineLevel="2" thickBot="1">
      <c r="A25" s="824"/>
      <c r="B25" s="825"/>
      <c r="C25" s="825"/>
      <c r="D25" s="65">
        <v>10</v>
      </c>
      <c r="E25" s="61">
        <f t="shared" si="4"/>
        <v>0</v>
      </c>
      <c r="F25" s="580">
        <v>0</v>
      </c>
      <c r="G25" s="580">
        <v>0</v>
      </c>
      <c r="H25" s="580">
        <v>0</v>
      </c>
      <c r="I25" s="580">
        <v>0</v>
      </c>
      <c r="J25" s="580">
        <v>0</v>
      </c>
      <c r="K25" s="580">
        <v>0</v>
      </c>
      <c r="L25" s="580">
        <v>0</v>
      </c>
      <c r="M25" s="580">
        <v>0</v>
      </c>
      <c r="N25" s="580">
        <v>0</v>
      </c>
      <c r="O25" s="580">
        <v>0</v>
      </c>
      <c r="P25" s="580">
        <v>0</v>
      </c>
      <c r="Q25" s="580">
        <v>0</v>
      </c>
      <c r="R25" s="580">
        <v>0</v>
      </c>
      <c r="S25" s="580">
        <v>0</v>
      </c>
      <c r="T25" s="580">
        <v>0</v>
      </c>
      <c r="U25" s="580">
        <v>0</v>
      </c>
      <c r="V25" s="580">
        <v>0</v>
      </c>
      <c r="W25" s="580">
        <v>0</v>
      </c>
      <c r="X25" s="580">
        <v>0</v>
      </c>
      <c r="Y25" s="580">
        <v>0</v>
      </c>
      <c r="Z25" s="580">
        <v>0</v>
      </c>
    </row>
    <row r="26" spans="1:26" outlineLevel="2">
      <c r="A26" s="824" t="s">
        <v>70</v>
      </c>
      <c r="B26" s="825" t="s">
        <v>76</v>
      </c>
      <c r="C26" s="825">
        <v>633013</v>
      </c>
      <c r="D26" s="63">
        <v>1</v>
      </c>
      <c r="E26" s="60">
        <f t="shared" si="4"/>
        <v>0</v>
      </c>
      <c r="F26" s="581">
        <v>0</v>
      </c>
      <c r="G26" s="581">
        <v>0</v>
      </c>
      <c r="H26" s="581">
        <v>0</v>
      </c>
      <c r="I26" s="581">
        <v>0</v>
      </c>
      <c r="J26" s="581">
        <v>0</v>
      </c>
      <c r="K26" s="581">
        <v>0</v>
      </c>
      <c r="L26" s="581">
        <v>0</v>
      </c>
      <c r="M26" s="581">
        <v>0</v>
      </c>
      <c r="N26" s="581">
        <v>0</v>
      </c>
      <c r="O26" s="581">
        <v>0</v>
      </c>
      <c r="P26" s="581">
        <v>0</v>
      </c>
      <c r="Q26" s="581">
        <v>0</v>
      </c>
      <c r="R26" s="581">
        <v>0</v>
      </c>
      <c r="S26" s="581">
        <v>0</v>
      </c>
      <c r="T26" s="581">
        <v>0</v>
      </c>
      <c r="U26" s="581">
        <v>0</v>
      </c>
      <c r="V26" s="581">
        <v>0</v>
      </c>
      <c r="W26" s="581">
        <v>0</v>
      </c>
      <c r="X26" s="581">
        <v>0</v>
      </c>
      <c r="Y26" s="581">
        <v>0</v>
      </c>
      <c r="Z26" s="581">
        <v>0</v>
      </c>
    </row>
    <row r="27" spans="1:26" outlineLevel="2">
      <c r="A27" s="824"/>
      <c r="B27" s="825"/>
      <c r="C27" s="825"/>
      <c r="D27" s="64">
        <v>2</v>
      </c>
      <c r="E27" s="61">
        <f t="shared" si="4"/>
        <v>0</v>
      </c>
      <c r="F27" s="582">
        <v>0</v>
      </c>
      <c r="G27" s="582">
        <v>0</v>
      </c>
      <c r="H27" s="582">
        <v>0</v>
      </c>
      <c r="I27" s="582">
        <v>0</v>
      </c>
      <c r="J27" s="582">
        <v>0</v>
      </c>
      <c r="K27" s="582">
        <v>0</v>
      </c>
      <c r="L27" s="582">
        <v>0</v>
      </c>
      <c r="M27" s="582">
        <v>0</v>
      </c>
      <c r="N27" s="582">
        <v>0</v>
      </c>
      <c r="O27" s="582">
        <v>0</v>
      </c>
      <c r="P27" s="582">
        <v>0</v>
      </c>
      <c r="Q27" s="582">
        <v>0</v>
      </c>
      <c r="R27" s="582">
        <v>0</v>
      </c>
      <c r="S27" s="582">
        <v>0</v>
      </c>
      <c r="T27" s="582">
        <v>0</v>
      </c>
      <c r="U27" s="582">
        <v>0</v>
      </c>
      <c r="V27" s="582">
        <v>0</v>
      </c>
      <c r="W27" s="582">
        <v>0</v>
      </c>
      <c r="X27" s="582">
        <v>0</v>
      </c>
      <c r="Y27" s="582">
        <v>0</v>
      </c>
      <c r="Z27" s="582">
        <v>0</v>
      </c>
    </row>
    <row r="28" spans="1:26" outlineLevel="2">
      <c r="A28" s="824"/>
      <c r="B28" s="825"/>
      <c r="C28" s="825"/>
      <c r="D28" s="64">
        <v>3</v>
      </c>
      <c r="E28" s="61">
        <f t="shared" si="4"/>
        <v>0</v>
      </c>
      <c r="F28" s="582">
        <v>0</v>
      </c>
      <c r="G28" s="582">
        <v>0</v>
      </c>
      <c r="H28" s="582">
        <v>0</v>
      </c>
      <c r="I28" s="582">
        <v>0</v>
      </c>
      <c r="J28" s="582">
        <v>0</v>
      </c>
      <c r="K28" s="582">
        <v>0</v>
      </c>
      <c r="L28" s="582">
        <v>0</v>
      </c>
      <c r="M28" s="582">
        <v>0</v>
      </c>
      <c r="N28" s="582">
        <v>0</v>
      </c>
      <c r="O28" s="582">
        <v>0</v>
      </c>
      <c r="P28" s="582">
        <v>0</v>
      </c>
      <c r="Q28" s="582">
        <v>0</v>
      </c>
      <c r="R28" s="582">
        <v>0</v>
      </c>
      <c r="S28" s="582">
        <v>0</v>
      </c>
      <c r="T28" s="582">
        <v>0</v>
      </c>
      <c r="U28" s="582">
        <v>0</v>
      </c>
      <c r="V28" s="582">
        <v>0</v>
      </c>
      <c r="W28" s="582">
        <v>0</v>
      </c>
      <c r="X28" s="582">
        <v>0</v>
      </c>
      <c r="Y28" s="582">
        <v>0</v>
      </c>
      <c r="Z28" s="582">
        <v>0</v>
      </c>
    </row>
    <row r="29" spans="1:26" outlineLevel="2">
      <c r="A29" s="824"/>
      <c r="B29" s="825"/>
      <c r="C29" s="825"/>
      <c r="D29" s="64">
        <v>4</v>
      </c>
      <c r="E29" s="61">
        <f t="shared" si="4"/>
        <v>0</v>
      </c>
      <c r="F29" s="582">
        <v>0</v>
      </c>
      <c r="G29" s="582">
        <v>0</v>
      </c>
      <c r="H29" s="582">
        <v>0</v>
      </c>
      <c r="I29" s="582">
        <v>0</v>
      </c>
      <c r="J29" s="582">
        <v>0</v>
      </c>
      <c r="K29" s="582">
        <v>0</v>
      </c>
      <c r="L29" s="582">
        <v>0</v>
      </c>
      <c r="M29" s="582">
        <v>0</v>
      </c>
      <c r="N29" s="582">
        <v>0</v>
      </c>
      <c r="O29" s="582">
        <v>0</v>
      </c>
      <c r="P29" s="582">
        <v>0</v>
      </c>
      <c r="Q29" s="582">
        <v>0</v>
      </c>
      <c r="R29" s="582">
        <v>0</v>
      </c>
      <c r="S29" s="582">
        <v>0</v>
      </c>
      <c r="T29" s="582">
        <v>0</v>
      </c>
      <c r="U29" s="582">
        <v>0</v>
      </c>
      <c r="V29" s="582">
        <v>0</v>
      </c>
      <c r="W29" s="582">
        <v>0</v>
      </c>
      <c r="X29" s="582">
        <v>0</v>
      </c>
      <c r="Y29" s="582">
        <v>0</v>
      </c>
      <c r="Z29" s="582">
        <v>0</v>
      </c>
    </row>
    <row r="30" spans="1:26" outlineLevel="2">
      <c r="A30" s="824"/>
      <c r="B30" s="825"/>
      <c r="C30" s="825"/>
      <c r="D30" s="64">
        <v>5</v>
      </c>
      <c r="E30" s="61">
        <f t="shared" si="4"/>
        <v>0</v>
      </c>
      <c r="F30" s="582">
        <v>0</v>
      </c>
      <c r="G30" s="582">
        <v>0</v>
      </c>
      <c r="H30" s="582">
        <v>0</v>
      </c>
      <c r="I30" s="582">
        <v>0</v>
      </c>
      <c r="J30" s="582">
        <v>0</v>
      </c>
      <c r="K30" s="582">
        <v>0</v>
      </c>
      <c r="L30" s="582">
        <v>0</v>
      </c>
      <c r="M30" s="582">
        <v>0</v>
      </c>
      <c r="N30" s="582">
        <v>0</v>
      </c>
      <c r="O30" s="582">
        <v>0</v>
      </c>
      <c r="P30" s="582">
        <v>0</v>
      </c>
      <c r="Q30" s="582">
        <v>0</v>
      </c>
      <c r="R30" s="582">
        <v>0</v>
      </c>
      <c r="S30" s="582">
        <v>0</v>
      </c>
      <c r="T30" s="582">
        <v>0</v>
      </c>
      <c r="U30" s="582">
        <v>0</v>
      </c>
      <c r="V30" s="582">
        <v>0</v>
      </c>
      <c r="W30" s="582">
        <v>0</v>
      </c>
      <c r="X30" s="582">
        <v>0</v>
      </c>
      <c r="Y30" s="582">
        <v>0</v>
      </c>
      <c r="Z30" s="582">
        <v>0</v>
      </c>
    </row>
    <row r="31" spans="1:26" outlineLevel="2">
      <c r="A31" s="824"/>
      <c r="B31" s="825"/>
      <c r="C31" s="825"/>
      <c r="D31" s="64">
        <v>6</v>
      </c>
      <c r="E31" s="61">
        <f t="shared" si="4"/>
        <v>0</v>
      </c>
      <c r="F31" s="582">
        <v>0</v>
      </c>
      <c r="G31" s="582">
        <v>0</v>
      </c>
      <c r="H31" s="582">
        <v>0</v>
      </c>
      <c r="I31" s="582">
        <v>0</v>
      </c>
      <c r="J31" s="582">
        <v>0</v>
      </c>
      <c r="K31" s="582">
        <v>0</v>
      </c>
      <c r="L31" s="582">
        <v>0</v>
      </c>
      <c r="M31" s="582">
        <v>0</v>
      </c>
      <c r="N31" s="582">
        <v>0</v>
      </c>
      <c r="O31" s="582">
        <v>0</v>
      </c>
      <c r="P31" s="582">
        <v>0</v>
      </c>
      <c r="Q31" s="582">
        <v>0</v>
      </c>
      <c r="R31" s="582">
        <v>0</v>
      </c>
      <c r="S31" s="582">
        <v>0</v>
      </c>
      <c r="T31" s="582">
        <v>0</v>
      </c>
      <c r="U31" s="582">
        <v>0</v>
      </c>
      <c r="V31" s="582">
        <v>0</v>
      </c>
      <c r="W31" s="582">
        <v>0</v>
      </c>
      <c r="X31" s="582">
        <v>0</v>
      </c>
      <c r="Y31" s="582">
        <v>0</v>
      </c>
      <c r="Z31" s="582">
        <v>0</v>
      </c>
    </row>
    <row r="32" spans="1:26" outlineLevel="2">
      <c r="A32" s="824"/>
      <c r="B32" s="825"/>
      <c r="C32" s="825"/>
      <c r="D32" s="64">
        <v>7</v>
      </c>
      <c r="E32" s="61">
        <f t="shared" si="4"/>
        <v>0</v>
      </c>
      <c r="F32" s="582">
        <v>0</v>
      </c>
      <c r="G32" s="582">
        <v>0</v>
      </c>
      <c r="H32" s="582">
        <v>0</v>
      </c>
      <c r="I32" s="582">
        <v>0</v>
      </c>
      <c r="J32" s="582">
        <v>0</v>
      </c>
      <c r="K32" s="582">
        <v>0</v>
      </c>
      <c r="L32" s="582">
        <v>0</v>
      </c>
      <c r="M32" s="582">
        <v>0</v>
      </c>
      <c r="N32" s="582">
        <v>0</v>
      </c>
      <c r="O32" s="582">
        <v>0</v>
      </c>
      <c r="P32" s="582">
        <v>0</v>
      </c>
      <c r="Q32" s="582">
        <v>0</v>
      </c>
      <c r="R32" s="582">
        <v>0</v>
      </c>
      <c r="S32" s="582">
        <v>0</v>
      </c>
      <c r="T32" s="582">
        <v>0</v>
      </c>
      <c r="U32" s="582">
        <v>0</v>
      </c>
      <c r="V32" s="582">
        <v>0</v>
      </c>
      <c r="W32" s="582">
        <v>0</v>
      </c>
      <c r="X32" s="582">
        <v>0</v>
      </c>
      <c r="Y32" s="582">
        <v>0</v>
      </c>
      <c r="Z32" s="582">
        <v>0</v>
      </c>
    </row>
    <row r="33" spans="1:26" outlineLevel="2">
      <c r="A33" s="824"/>
      <c r="B33" s="825"/>
      <c r="C33" s="825"/>
      <c r="D33" s="64">
        <v>8</v>
      </c>
      <c r="E33" s="61">
        <f t="shared" si="4"/>
        <v>0</v>
      </c>
      <c r="F33" s="582">
        <v>0</v>
      </c>
      <c r="G33" s="582">
        <v>0</v>
      </c>
      <c r="H33" s="582">
        <v>0</v>
      </c>
      <c r="I33" s="582">
        <v>0</v>
      </c>
      <c r="J33" s="582">
        <v>0</v>
      </c>
      <c r="K33" s="582">
        <v>0</v>
      </c>
      <c r="L33" s="582">
        <v>0</v>
      </c>
      <c r="M33" s="582">
        <v>0</v>
      </c>
      <c r="N33" s="582">
        <v>0</v>
      </c>
      <c r="O33" s="582">
        <v>0</v>
      </c>
      <c r="P33" s="582">
        <v>0</v>
      </c>
      <c r="Q33" s="582">
        <v>0</v>
      </c>
      <c r="R33" s="582">
        <v>0</v>
      </c>
      <c r="S33" s="582">
        <v>0</v>
      </c>
      <c r="T33" s="582">
        <v>0</v>
      </c>
      <c r="U33" s="582">
        <v>0</v>
      </c>
      <c r="V33" s="582">
        <v>0</v>
      </c>
      <c r="W33" s="582">
        <v>0</v>
      </c>
      <c r="X33" s="582">
        <v>0</v>
      </c>
      <c r="Y33" s="582">
        <v>0</v>
      </c>
      <c r="Z33" s="582">
        <v>0</v>
      </c>
    </row>
    <row r="34" spans="1:26" outlineLevel="2">
      <c r="A34" s="824"/>
      <c r="B34" s="825"/>
      <c r="C34" s="825"/>
      <c r="D34" s="64">
        <v>9</v>
      </c>
      <c r="E34" s="61">
        <f t="shared" si="4"/>
        <v>0</v>
      </c>
      <c r="F34" s="582">
        <v>0</v>
      </c>
      <c r="G34" s="582">
        <v>0</v>
      </c>
      <c r="H34" s="582">
        <v>0</v>
      </c>
      <c r="I34" s="582">
        <v>0</v>
      </c>
      <c r="J34" s="582">
        <v>0</v>
      </c>
      <c r="K34" s="582">
        <v>0</v>
      </c>
      <c r="L34" s="582">
        <v>0</v>
      </c>
      <c r="M34" s="582">
        <v>0</v>
      </c>
      <c r="N34" s="582">
        <v>0</v>
      </c>
      <c r="O34" s="582">
        <v>0</v>
      </c>
      <c r="P34" s="582">
        <v>0</v>
      </c>
      <c r="Q34" s="582">
        <v>0</v>
      </c>
      <c r="R34" s="582">
        <v>0</v>
      </c>
      <c r="S34" s="582">
        <v>0</v>
      </c>
      <c r="T34" s="582">
        <v>0</v>
      </c>
      <c r="U34" s="582">
        <v>0</v>
      </c>
      <c r="V34" s="582">
        <v>0</v>
      </c>
      <c r="W34" s="582">
        <v>0</v>
      </c>
      <c r="X34" s="582">
        <v>0</v>
      </c>
      <c r="Y34" s="582">
        <v>0</v>
      </c>
      <c r="Z34" s="582">
        <v>0</v>
      </c>
    </row>
    <row r="35" spans="1:26" ht="15.75" outlineLevel="2" thickBot="1">
      <c r="A35" s="824"/>
      <c r="B35" s="825"/>
      <c r="C35" s="825"/>
      <c r="D35" s="65">
        <v>10</v>
      </c>
      <c r="E35" s="62">
        <f t="shared" si="4"/>
        <v>0</v>
      </c>
      <c r="F35" s="583">
        <v>0</v>
      </c>
      <c r="G35" s="583">
        <v>0</v>
      </c>
      <c r="H35" s="583">
        <v>0</v>
      </c>
      <c r="I35" s="583">
        <v>0</v>
      </c>
      <c r="J35" s="583">
        <v>0</v>
      </c>
      <c r="K35" s="583">
        <v>0</v>
      </c>
      <c r="L35" s="583">
        <v>0</v>
      </c>
      <c r="M35" s="583">
        <v>0</v>
      </c>
      <c r="N35" s="583">
        <v>0</v>
      </c>
      <c r="O35" s="583">
        <v>0</v>
      </c>
      <c r="P35" s="583">
        <v>0</v>
      </c>
      <c r="Q35" s="583">
        <v>0</v>
      </c>
      <c r="R35" s="583">
        <v>0</v>
      </c>
      <c r="S35" s="583">
        <v>0</v>
      </c>
      <c r="T35" s="583">
        <v>0</v>
      </c>
      <c r="U35" s="583">
        <v>0</v>
      </c>
      <c r="V35" s="583">
        <v>0</v>
      </c>
      <c r="W35" s="583">
        <v>0</v>
      </c>
      <c r="X35" s="583">
        <v>0</v>
      </c>
      <c r="Y35" s="583">
        <v>0</v>
      </c>
      <c r="Z35" s="583">
        <v>0</v>
      </c>
    </row>
    <row r="36" spans="1:26" ht="15.75" outlineLevel="1" thickBot="1">
      <c r="A36" s="17" t="s">
        <v>104</v>
      </c>
      <c r="B36" s="17"/>
      <c r="C36" s="17"/>
      <c r="D36" s="27"/>
      <c r="E36" s="112">
        <f t="shared" ref="E36:Z36" si="5">SUM(E37:E76)</f>
        <v>10924819.5035</v>
      </c>
      <c r="F36" s="113">
        <f t="shared" si="5"/>
        <v>5636332.1604224993</v>
      </c>
      <c r="G36" s="113">
        <f t="shared" si="5"/>
        <v>378506.50398624997</v>
      </c>
      <c r="H36" s="113">
        <f t="shared" si="5"/>
        <v>4397542.5039862497</v>
      </c>
      <c r="I36" s="113">
        <f t="shared" si="5"/>
        <v>512438.33510500001</v>
      </c>
      <c r="J36" s="113">
        <f t="shared" si="5"/>
        <v>0</v>
      </c>
      <c r="K36" s="113">
        <f t="shared" si="5"/>
        <v>0</v>
      </c>
      <c r="L36" s="113">
        <f t="shared" si="5"/>
        <v>0</v>
      </c>
      <c r="M36" s="113">
        <f t="shared" si="5"/>
        <v>0</v>
      </c>
      <c r="N36" s="113">
        <f t="shared" si="5"/>
        <v>0</v>
      </c>
      <c r="O36" s="113">
        <f t="shared" si="5"/>
        <v>0</v>
      </c>
      <c r="P36" s="113">
        <f t="shared" si="5"/>
        <v>0</v>
      </c>
      <c r="Q36" s="113">
        <f t="shared" si="5"/>
        <v>0</v>
      </c>
      <c r="R36" s="113">
        <f t="shared" si="5"/>
        <v>0</v>
      </c>
      <c r="S36" s="113">
        <f t="shared" si="5"/>
        <v>0</v>
      </c>
      <c r="T36" s="113">
        <f t="shared" si="5"/>
        <v>0</v>
      </c>
      <c r="U36" s="113">
        <f t="shared" si="5"/>
        <v>0</v>
      </c>
      <c r="V36" s="113">
        <f t="shared" si="5"/>
        <v>0</v>
      </c>
      <c r="W36" s="113">
        <f t="shared" si="5"/>
        <v>0</v>
      </c>
      <c r="X36" s="113">
        <f t="shared" si="5"/>
        <v>0</v>
      </c>
      <c r="Y36" s="113">
        <f t="shared" si="5"/>
        <v>0</v>
      </c>
      <c r="Z36" s="113">
        <f t="shared" si="5"/>
        <v>0</v>
      </c>
    </row>
    <row r="37" spans="1:26" outlineLevel="2">
      <c r="A37" s="824" t="s">
        <v>74</v>
      </c>
      <c r="B37" s="825" t="s">
        <v>71</v>
      </c>
      <c r="C37" s="825">
        <v>711003</v>
      </c>
      <c r="D37" s="63">
        <v>1</v>
      </c>
      <c r="E37" s="67">
        <f t="shared" ref="E37:E76" si="6">SUM(F37:Z37)</f>
        <v>0</v>
      </c>
      <c r="F37" s="576">
        <f>IFERROR(IF(VLOOKUP(F$2,MODULY_CBA!$B$3:$I$23,8,0)=$D37,SUMIF('Rozpocet - Vyvoj aplikacii'!$B$3:$B$179,'TCO TO BE- SW'!F$2,'Rozpocet - Vyvoj aplikacii'!$J$3:$J$179),0),0)</f>
        <v>0</v>
      </c>
      <c r="G37" s="576">
        <f>IFERROR(IF(VLOOKUP(G$2,MODULY_CBA!$B$3:$I$23,8,0)=$D37,SUMIF('Rozpocet - Vyvoj aplikacii'!$B$3:$B$179,'TCO TO BE- SW'!G$2,'Rozpocet - Vyvoj aplikacii'!$J$3:$J$179),0),0)</f>
        <v>0</v>
      </c>
      <c r="H37" s="576">
        <f>IFERROR(IF(VLOOKUP(H$2,MODULY_CBA!$B$3:$I$23,8,0)=$D37,SUMIF('Rozpocet - Vyvoj aplikacii'!$B$3:$B$179,'TCO TO BE- SW'!H$2,'Rozpocet - Vyvoj aplikacii'!$J$3:$J$179),0),0)</f>
        <v>0</v>
      </c>
      <c r="I37" s="576">
        <f>IFERROR(IF(VLOOKUP(I$2,MODULY_CBA!$B$3:$I$23,8,0)=$D37,SUMIF('Rozpocet - Vyvoj aplikacii'!$B$3:$B$179,'TCO TO BE- SW'!I$2,'Rozpocet - Vyvoj aplikacii'!$J$3:$J$179),0),0)</f>
        <v>0</v>
      </c>
      <c r="J37" s="576">
        <f>IFERROR(IF(VLOOKUP(J$2,MODULY_CBA!$B$3:$I$23,8,0)=$D37,SUMIF('Rozpocet - Vyvoj aplikacii'!$B$3:$B$179,'TCO TO BE- SW'!J$2,'Rozpocet - Vyvoj aplikacii'!$J$3:$J$179),0),0)</f>
        <v>0</v>
      </c>
      <c r="K37" s="576">
        <f>IFERROR(IF(VLOOKUP(K$2,MODULY_CBA!$B$3:$I$23,8,0)=$D37,SUMIF('Rozpocet - Vyvoj aplikacii'!$B$3:$B$179,'TCO TO BE- SW'!K$2,'Rozpocet - Vyvoj aplikacii'!$J$3:$J$179),0),0)</f>
        <v>0</v>
      </c>
      <c r="L37" s="576">
        <f>IFERROR(IF(VLOOKUP(L$2,MODULY_CBA!$B$3:$I$23,8,0)=$D37,SUMIF('Rozpocet - Vyvoj aplikacii'!$B$3:$B$179,'TCO TO BE- SW'!L$2,'Rozpocet - Vyvoj aplikacii'!$J$3:$J$179),0),0)</f>
        <v>0</v>
      </c>
      <c r="M37" s="576">
        <f>IFERROR(IF(VLOOKUP(M$2,MODULY_CBA!$B$3:$I$23,8,0)=$D37,SUMIF('Rozpocet - Vyvoj aplikacii'!$B$3:$B$179,'TCO TO BE- SW'!M$2,'Rozpocet - Vyvoj aplikacii'!$J$3:$J$179),0),0)</f>
        <v>0</v>
      </c>
      <c r="N37" s="576">
        <f>IFERROR(IF(VLOOKUP(N$2,MODULY_CBA!$B$3:$I$23,8,0)=$D37,SUMIF('Rozpocet - Vyvoj aplikacii'!$B$3:$B$179,'TCO TO BE- SW'!N$2,'Rozpocet - Vyvoj aplikacii'!$J$3:$J$179),0),0)</f>
        <v>0</v>
      </c>
      <c r="O37" s="576">
        <f>IFERROR(IF(VLOOKUP(O$2,MODULY_CBA!$B$3:$I$23,8,0)=$D37,SUMIF('Rozpocet - Vyvoj aplikacii'!$B$3:$B$179,'TCO TO BE- SW'!O$2,'Rozpocet - Vyvoj aplikacii'!$J$3:$J$179),0),0)</f>
        <v>0</v>
      </c>
      <c r="P37" s="576">
        <f>IFERROR(IF(VLOOKUP(P$2,MODULY_CBA!$B$3:$I$23,8,0)=$D37,SUMIF('Rozpocet - Vyvoj aplikacii'!$B$3:$B$179,'TCO TO BE- SW'!P$2,'Rozpocet - Vyvoj aplikacii'!$J$3:$J$179),0),0)</f>
        <v>0</v>
      </c>
      <c r="Q37" s="576">
        <f>IFERROR(IF(VLOOKUP(Q$2,MODULY_CBA!$B$3:$I$23,8,0)=$D37,SUMIF('Rozpocet - Vyvoj aplikacii'!$B$3:$B$179,'TCO TO BE- SW'!Q$2,'Rozpocet - Vyvoj aplikacii'!$J$3:$J$179),0),0)</f>
        <v>0</v>
      </c>
      <c r="R37" s="576">
        <f>IFERROR(IF(VLOOKUP(R$2,MODULY_CBA!$B$3:$I$23,8,0)=$D37,SUMIF('Rozpocet - Vyvoj aplikacii'!$B$3:$B$179,'TCO TO BE- SW'!R$2,'Rozpocet - Vyvoj aplikacii'!$J$3:$J$179),0),0)</f>
        <v>0</v>
      </c>
      <c r="S37" s="576">
        <f>IFERROR(IF(VLOOKUP(S$2,MODULY_CBA!$B$3:$I$23,8,0)=$D37,SUMIF('Rozpocet - Vyvoj aplikacii'!$B$3:$B$179,'TCO TO BE- SW'!S$2,'Rozpocet - Vyvoj aplikacii'!$J$3:$J$179),0),0)</f>
        <v>0</v>
      </c>
      <c r="T37" s="576">
        <f>IFERROR(IF(VLOOKUP(T$2,MODULY_CBA!$B$3:$I$23,8,0)=$D37,SUMIF('Rozpocet - Vyvoj aplikacii'!$B$3:$B$179,'TCO TO BE- SW'!T$2,'Rozpocet - Vyvoj aplikacii'!$J$3:$J$179),0),0)</f>
        <v>0</v>
      </c>
      <c r="U37" s="576">
        <f>IFERROR(IF(VLOOKUP(U$2,MODULY_CBA!$B$3:$I$23,8,0)=$D37,SUMIF('Rozpocet - Vyvoj aplikacii'!$B$3:$B$179,'TCO TO BE- SW'!U$2,'Rozpocet - Vyvoj aplikacii'!$J$3:$J$179),0),0)</f>
        <v>0</v>
      </c>
      <c r="V37" s="576">
        <f>IFERROR(IF(VLOOKUP(V$2,MODULY_CBA!$B$3:$I$23,8,0)=$D37,SUMIF('Rozpocet - Vyvoj aplikacii'!$B$3:$B$179,'TCO TO BE- SW'!V$2,'Rozpocet - Vyvoj aplikacii'!$J$3:$J$179),0),0)</f>
        <v>0</v>
      </c>
      <c r="W37" s="576">
        <f>IFERROR(IF(VLOOKUP(W$2,MODULY_CBA!$B$3:$I$23,8,0)=$D37,SUMIF('Rozpocet - Vyvoj aplikacii'!$B$3:$B$179,'TCO TO BE- SW'!W$2,'Rozpocet - Vyvoj aplikacii'!$J$3:$J$179),0),0)</f>
        <v>0</v>
      </c>
      <c r="X37" s="576">
        <f>IFERROR(IF(VLOOKUP(X$2,MODULY_CBA!$B$3:$I$23,8,0)=$D37,SUMIF('Rozpocet - Vyvoj aplikacii'!$B$3:$B$179,'TCO TO BE- SW'!X$2,'Rozpocet - Vyvoj aplikacii'!$J$3:$J$179),0),0)</f>
        <v>0</v>
      </c>
      <c r="Y37" s="576">
        <f>IFERROR(IF(VLOOKUP(Y$2,MODULY_CBA!$B$3:$I$23,8,0)=$D37,SUMIF('Rozpocet - Vyvoj aplikacii'!$B$3:$B$179,'TCO TO BE- SW'!Y$2,'Rozpocet - Vyvoj aplikacii'!$J$3:$J$179),0),0)</f>
        <v>0</v>
      </c>
      <c r="Z37" s="576">
        <f>IFERROR(IF(VLOOKUP(Z$2,MODULY_CBA!$B$3:$I$23,8,0)=$D37,SUMIF('Rozpocet - Vyvoj aplikacii'!$B$3:$B$179,'TCO TO BE- SW'!Z$2,'Rozpocet - Vyvoj aplikacii'!$J$3:$J$179),0),0)</f>
        <v>0</v>
      </c>
    </row>
    <row r="38" spans="1:26" outlineLevel="2">
      <c r="A38" s="824"/>
      <c r="B38" s="825"/>
      <c r="C38" s="825"/>
      <c r="D38" s="64">
        <v>2</v>
      </c>
      <c r="E38" s="68">
        <f t="shared" si="6"/>
        <v>0</v>
      </c>
      <c r="F38" s="577">
        <f>IFERROR(IF(VLOOKUP(F$2,MODULY_CBA!$B$3:$I$23,8,0)=$D38,SUMIF('Rozpocet - Vyvoj aplikacii'!$B$3:$B$179,'TCO TO BE- SW'!F$2,'Rozpocet - Vyvoj aplikacii'!$J$3:$J$179),0),0)</f>
        <v>0</v>
      </c>
      <c r="G38" s="577">
        <f>IFERROR(IF(VLOOKUP(G$2,MODULY_CBA!$B$3:$I$23,8,0)=$D38,SUMIF('Rozpocet - Vyvoj aplikacii'!$B$3:$B$179,'TCO TO BE- SW'!G$2,'Rozpocet - Vyvoj aplikacii'!$J$3:$J$179),0),0)</f>
        <v>0</v>
      </c>
      <c r="H38" s="577">
        <f>IFERROR(IF(VLOOKUP(H$2,MODULY_CBA!$B$3:$I$23,8,0)=$D38,SUMIF('Rozpocet - Vyvoj aplikacii'!$B$3:$B$179,'TCO TO BE- SW'!H$2,'Rozpocet - Vyvoj aplikacii'!$J$3:$J$179),0),0)</f>
        <v>0</v>
      </c>
      <c r="I38" s="577">
        <f>IFERROR(IF(VLOOKUP(I$2,MODULY_CBA!$B$3:$I$23,8,0)=$D38,SUMIF('Rozpocet - Vyvoj aplikacii'!$B$3:$B$179,'TCO TO BE- SW'!I$2,'Rozpocet - Vyvoj aplikacii'!$J$3:$J$179),0),0)</f>
        <v>0</v>
      </c>
      <c r="J38" s="577">
        <f>IFERROR(IF(VLOOKUP(J$2,MODULY_CBA!$B$3:$I$23,8,0)=$D38,SUMIF('Rozpocet - Vyvoj aplikacii'!$B$3:$B$179,'TCO TO BE- SW'!J$2,'Rozpocet - Vyvoj aplikacii'!$J$3:$J$179),0),0)</f>
        <v>0</v>
      </c>
      <c r="K38" s="577">
        <f>IFERROR(IF(VLOOKUP(K$2,MODULY_CBA!$B$3:$I$23,8,0)=$D38,SUMIF('Rozpocet - Vyvoj aplikacii'!$B$3:$B$179,'TCO TO BE- SW'!K$2,'Rozpocet - Vyvoj aplikacii'!$J$3:$J$179),0),0)</f>
        <v>0</v>
      </c>
      <c r="L38" s="577">
        <f>IFERROR(IF(VLOOKUP(L$2,MODULY_CBA!$B$3:$I$23,8,0)=$D38,SUMIF('Rozpocet - Vyvoj aplikacii'!$B$3:$B$179,'TCO TO BE- SW'!L$2,'Rozpocet - Vyvoj aplikacii'!$J$3:$J$179),0),0)</f>
        <v>0</v>
      </c>
      <c r="M38" s="577">
        <f>IFERROR(IF(VLOOKUP(M$2,MODULY_CBA!$B$3:$I$23,8,0)=$D38,SUMIF('Rozpocet - Vyvoj aplikacii'!$B$3:$B$179,'TCO TO BE- SW'!M$2,'Rozpocet - Vyvoj aplikacii'!$J$3:$J$179),0),0)</f>
        <v>0</v>
      </c>
      <c r="N38" s="577">
        <f>IFERROR(IF(VLOOKUP(N$2,MODULY_CBA!$B$3:$I$23,8,0)=$D38,SUMIF('Rozpocet - Vyvoj aplikacii'!$B$3:$B$179,'TCO TO BE- SW'!N$2,'Rozpocet - Vyvoj aplikacii'!$J$3:$J$179),0),0)</f>
        <v>0</v>
      </c>
      <c r="O38" s="577">
        <f>IFERROR(IF(VLOOKUP(O$2,MODULY_CBA!$B$3:$I$23,8,0)=$D38,SUMIF('Rozpocet - Vyvoj aplikacii'!$B$3:$B$179,'TCO TO BE- SW'!O$2,'Rozpocet - Vyvoj aplikacii'!$J$3:$J$179),0),0)</f>
        <v>0</v>
      </c>
      <c r="P38" s="577">
        <f>IFERROR(IF(VLOOKUP(P$2,MODULY_CBA!$B$3:$I$23,8,0)=$D38,SUMIF('Rozpocet - Vyvoj aplikacii'!$B$3:$B$179,'TCO TO BE- SW'!P$2,'Rozpocet - Vyvoj aplikacii'!$J$3:$J$179),0),0)</f>
        <v>0</v>
      </c>
      <c r="Q38" s="577">
        <f>IFERROR(IF(VLOOKUP(Q$2,MODULY_CBA!$B$3:$I$23,8,0)=$D38,SUMIF('Rozpocet - Vyvoj aplikacii'!$B$3:$B$179,'TCO TO BE- SW'!Q$2,'Rozpocet - Vyvoj aplikacii'!$J$3:$J$179),0),0)</f>
        <v>0</v>
      </c>
      <c r="R38" s="577">
        <f>IFERROR(IF(VLOOKUP(R$2,MODULY_CBA!$B$3:$I$23,8,0)=$D38,SUMIF('Rozpocet - Vyvoj aplikacii'!$B$3:$B$179,'TCO TO BE- SW'!R$2,'Rozpocet - Vyvoj aplikacii'!$J$3:$J$179),0),0)</f>
        <v>0</v>
      </c>
      <c r="S38" s="577">
        <f>IFERROR(IF(VLOOKUP(S$2,MODULY_CBA!$B$3:$I$23,8,0)=$D38,SUMIF('Rozpocet - Vyvoj aplikacii'!$B$3:$B$179,'TCO TO BE- SW'!S$2,'Rozpocet - Vyvoj aplikacii'!$J$3:$J$179),0),0)</f>
        <v>0</v>
      </c>
      <c r="T38" s="577">
        <f>IFERROR(IF(VLOOKUP(T$2,MODULY_CBA!$B$3:$I$23,8,0)=$D38,SUMIF('Rozpocet - Vyvoj aplikacii'!$B$3:$B$179,'TCO TO BE- SW'!T$2,'Rozpocet - Vyvoj aplikacii'!$J$3:$J$179),0),0)</f>
        <v>0</v>
      </c>
      <c r="U38" s="577">
        <f>IFERROR(IF(VLOOKUP(U$2,MODULY_CBA!$B$3:$I$23,8,0)=$D38,SUMIF('Rozpocet - Vyvoj aplikacii'!$B$3:$B$179,'TCO TO BE- SW'!U$2,'Rozpocet - Vyvoj aplikacii'!$J$3:$J$179),0),0)</f>
        <v>0</v>
      </c>
      <c r="V38" s="577">
        <f>IFERROR(IF(VLOOKUP(V$2,MODULY_CBA!$B$3:$I$23,8,0)=$D38,SUMIF('Rozpocet - Vyvoj aplikacii'!$B$3:$B$179,'TCO TO BE- SW'!V$2,'Rozpocet - Vyvoj aplikacii'!$J$3:$J$179),0),0)</f>
        <v>0</v>
      </c>
      <c r="W38" s="577">
        <f>IFERROR(IF(VLOOKUP(W$2,MODULY_CBA!$B$3:$I$23,8,0)=$D38,SUMIF('Rozpocet - Vyvoj aplikacii'!$B$3:$B$179,'TCO TO BE- SW'!W$2,'Rozpocet - Vyvoj aplikacii'!$J$3:$J$179),0),0)</f>
        <v>0</v>
      </c>
      <c r="X38" s="577">
        <f>IFERROR(IF(VLOOKUP(X$2,MODULY_CBA!$B$3:$I$23,8,0)=$D38,SUMIF('Rozpocet - Vyvoj aplikacii'!$B$3:$B$179,'TCO TO BE- SW'!X$2,'Rozpocet - Vyvoj aplikacii'!$J$3:$J$179),0),0)</f>
        <v>0</v>
      </c>
      <c r="Y38" s="577">
        <f>IFERROR(IF(VLOOKUP(Y$2,MODULY_CBA!$B$3:$I$23,8,0)=$D38,SUMIF('Rozpocet - Vyvoj aplikacii'!$B$3:$B$179,'TCO TO BE- SW'!Y$2,'Rozpocet - Vyvoj aplikacii'!$J$3:$J$179),0),0)</f>
        <v>0</v>
      </c>
      <c r="Z38" s="577">
        <f>IFERROR(IF(VLOOKUP(Z$2,MODULY_CBA!$B$3:$I$23,8,0)=$D38,SUMIF('Rozpocet - Vyvoj aplikacii'!$B$3:$B$179,'TCO TO BE- SW'!Z$2,'Rozpocet - Vyvoj aplikacii'!$J$3:$J$179),0),0)</f>
        <v>0</v>
      </c>
    </row>
    <row r="39" spans="1:26" outlineLevel="2">
      <c r="A39" s="824"/>
      <c r="B39" s="825"/>
      <c r="C39" s="825"/>
      <c r="D39" s="64">
        <v>3</v>
      </c>
      <c r="E39" s="68">
        <f t="shared" si="6"/>
        <v>3014370</v>
      </c>
      <c r="F39" s="577">
        <f>IFERROR(IF(VLOOKUP(F$2,MODULY_CBA!$B$3:$I$23,8,0)=$D39,SUMIF('Rozpocet - Vyvoj aplikacii'!$B$3:$B$179,'TCO TO BE- SW'!F$2,'Rozpocet - Vyvoj aplikacii'!$J$3:$J$179),0),0)</f>
        <v>2516998.9499999997</v>
      </c>
      <c r="G39" s="577">
        <f>IFERROR(IF(VLOOKUP(G$2,MODULY_CBA!$B$3:$I$23,8,0)=$D39,SUMIF('Rozpocet - Vyvoj aplikacii'!$B$3:$B$179,'TCO TO BE- SW'!G$2,'Rozpocet - Vyvoj aplikacii'!$J$3:$J$179),0),0)</f>
        <v>203469.97500000001</v>
      </c>
      <c r="H39" s="577">
        <f>IFERROR(IF(VLOOKUP(H$2,MODULY_CBA!$B$3:$I$23,8,0)=$D39,SUMIF('Rozpocet - Vyvoj aplikacii'!$B$3:$B$179,'TCO TO BE- SW'!H$2,'Rozpocet - Vyvoj aplikacii'!$J$3:$J$179),0),0)</f>
        <v>203469.97500000001</v>
      </c>
      <c r="I39" s="577">
        <f>IFERROR(IF(VLOOKUP(I$2,MODULY_CBA!$B$3:$I$23,8,0)=$D39,SUMIF('Rozpocet - Vyvoj aplikacii'!$B$3:$B$179,'TCO TO BE- SW'!I$2,'Rozpocet - Vyvoj aplikacii'!$J$3:$J$179),0),0)</f>
        <v>90431.099999999977</v>
      </c>
      <c r="J39" s="577">
        <f>IFERROR(IF(VLOOKUP(J$2,MODULY_CBA!$B$3:$I$23,8,0)=$D39,SUMIF('Rozpocet - Vyvoj aplikacii'!$B$3:$B$179,'TCO TO BE- SW'!J$2,'Rozpocet - Vyvoj aplikacii'!$J$3:$J$179),0),0)</f>
        <v>0</v>
      </c>
      <c r="K39" s="577">
        <f>IFERROR(IF(VLOOKUP(K$2,MODULY_CBA!$B$3:$I$23,8,0)=$D39,SUMIF('Rozpocet - Vyvoj aplikacii'!$B$3:$B$179,'TCO TO BE- SW'!K$2,'Rozpocet - Vyvoj aplikacii'!$J$3:$J$179),0),0)</f>
        <v>0</v>
      </c>
      <c r="L39" s="577">
        <f>IFERROR(IF(VLOOKUP(L$2,MODULY_CBA!$B$3:$I$23,8,0)=$D39,SUMIF('Rozpocet - Vyvoj aplikacii'!$B$3:$B$179,'TCO TO BE- SW'!L$2,'Rozpocet - Vyvoj aplikacii'!$J$3:$J$179),0),0)</f>
        <v>0</v>
      </c>
      <c r="M39" s="577">
        <f>IFERROR(IF(VLOOKUP(M$2,MODULY_CBA!$B$3:$I$23,8,0)=$D39,SUMIF('Rozpocet - Vyvoj aplikacii'!$B$3:$B$179,'TCO TO BE- SW'!M$2,'Rozpocet - Vyvoj aplikacii'!$J$3:$J$179),0),0)</f>
        <v>0</v>
      </c>
      <c r="N39" s="577">
        <f>IFERROR(IF(VLOOKUP(N$2,MODULY_CBA!$B$3:$I$23,8,0)=$D39,SUMIF('Rozpocet - Vyvoj aplikacii'!$B$3:$B$179,'TCO TO BE- SW'!N$2,'Rozpocet - Vyvoj aplikacii'!$J$3:$J$179),0),0)</f>
        <v>0</v>
      </c>
      <c r="O39" s="577">
        <f>IFERROR(IF(VLOOKUP(O$2,MODULY_CBA!$B$3:$I$23,8,0)=$D39,SUMIF('Rozpocet - Vyvoj aplikacii'!$B$3:$B$179,'TCO TO BE- SW'!O$2,'Rozpocet - Vyvoj aplikacii'!$J$3:$J$179),0),0)</f>
        <v>0</v>
      </c>
      <c r="P39" s="577">
        <f>IFERROR(IF(VLOOKUP(P$2,MODULY_CBA!$B$3:$I$23,8,0)=$D39,SUMIF('Rozpocet - Vyvoj aplikacii'!$B$3:$B$179,'TCO TO BE- SW'!P$2,'Rozpocet - Vyvoj aplikacii'!$J$3:$J$179),0),0)</f>
        <v>0</v>
      </c>
      <c r="Q39" s="577">
        <f>IFERROR(IF(VLOOKUP(Q$2,MODULY_CBA!$B$3:$I$23,8,0)=$D39,SUMIF('Rozpocet - Vyvoj aplikacii'!$B$3:$B$179,'TCO TO BE- SW'!Q$2,'Rozpocet - Vyvoj aplikacii'!$J$3:$J$179),0),0)</f>
        <v>0</v>
      </c>
      <c r="R39" s="577">
        <f>IFERROR(IF(VLOOKUP(R$2,MODULY_CBA!$B$3:$I$23,8,0)=$D39,SUMIF('Rozpocet - Vyvoj aplikacii'!$B$3:$B$179,'TCO TO BE- SW'!R$2,'Rozpocet - Vyvoj aplikacii'!$J$3:$J$179),0),0)</f>
        <v>0</v>
      </c>
      <c r="S39" s="577">
        <f>IFERROR(IF(VLOOKUP(S$2,MODULY_CBA!$B$3:$I$23,8,0)=$D39,SUMIF('Rozpocet - Vyvoj aplikacii'!$B$3:$B$179,'TCO TO BE- SW'!S$2,'Rozpocet - Vyvoj aplikacii'!$J$3:$J$179),0),0)</f>
        <v>0</v>
      </c>
      <c r="T39" s="577">
        <f>IFERROR(IF(VLOOKUP(T$2,MODULY_CBA!$B$3:$I$23,8,0)=$D39,SUMIF('Rozpocet - Vyvoj aplikacii'!$B$3:$B$179,'TCO TO BE- SW'!T$2,'Rozpocet - Vyvoj aplikacii'!$J$3:$J$179),0),0)</f>
        <v>0</v>
      </c>
      <c r="U39" s="577">
        <f>IFERROR(IF(VLOOKUP(U$2,MODULY_CBA!$B$3:$I$23,8,0)=$D39,SUMIF('Rozpocet - Vyvoj aplikacii'!$B$3:$B$179,'TCO TO BE- SW'!U$2,'Rozpocet - Vyvoj aplikacii'!$J$3:$J$179),0),0)</f>
        <v>0</v>
      </c>
      <c r="V39" s="577">
        <f>IFERROR(IF(VLOOKUP(V$2,MODULY_CBA!$B$3:$I$23,8,0)=$D39,SUMIF('Rozpocet - Vyvoj aplikacii'!$B$3:$B$179,'TCO TO BE- SW'!V$2,'Rozpocet - Vyvoj aplikacii'!$J$3:$J$179),0),0)</f>
        <v>0</v>
      </c>
      <c r="W39" s="577">
        <f>IFERROR(IF(VLOOKUP(W$2,MODULY_CBA!$B$3:$I$23,8,0)=$D39,SUMIF('Rozpocet - Vyvoj aplikacii'!$B$3:$B$179,'TCO TO BE- SW'!W$2,'Rozpocet - Vyvoj aplikacii'!$J$3:$J$179),0),0)</f>
        <v>0</v>
      </c>
      <c r="X39" s="577">
        <f>IFERROR(IF(VLOOKUP(X$2,MODULY_CBA!$B$3:$I$23,8,0)=$D39,SUMIF('Rozpocet - Vyvoj aplikacii'!$B$3:$B$179,'TCO TO BE- SW'!X$2,'Rozpocet - Vyvoj aplikacii'!$J$3:$J$179),0),0)</f>
        <v>0</v>
      </c>
      <c r="Y39" s="577">
        <f>IFERROR(IF(VLOOKUP(Y$2,MODULY_CBA!$B$3:$I$23,8,0)=$D39,SUMIF('Rozpocet - Vyvoj aplikacii'!$B$3:$B$179,'TCO TO BE- SW'!Y$2,'Rozpocet - Vyvoj aplikacii'!$J$3:$J$179),0),0)</f>
        <v>0</v>
      </c>
      <c r="Z39" s="577">
        <f>IFERROR(IF(VLOOKUP(Z$2,MODULY_CBA!$B$3:$I$23,8,0)=$D39,SUMIF('Rozpocet - Vyvoj aplikacii'!$B$3:$B$179,'TCO TO BE- SW'!Z$2,'Rozpocet - Vyvoj aplikacii'!$J$3:$J$179),0),0)</f>
        <v>0</v>
      </c>
    </row>
    <row r="40" spans="1:26" outlineLevel="2">
      <c r="A40" s="824"/>
      <c r="B40" s="825"/>
      <c r="C40" s="825"/>
      <c r="D40" s="64">
        <v>4</v>
      </c>
      <c r="E40" s="68">
        <f t="shared" si="6"/>
        <v>0</v>
      </c>
      <c r="F40" s="577">
        <f>IFERROR(IF(VLOOKUP(F$2,MODULY_CBA!$B$3:$I$23,8,0)=$D40,SUMIF('Rozpocet - Vyvoj aplikacii'!$B$3:$B$179,'TCO TO BE- SW'!F$2,'Rozpocet - Vyvoj aplikacii'!$J$3:$J$179),0),0)</f>
        <v>0</v>
      </c>
      <c r="G40" s="577">
        <f>IFERROR(IF(VLOOKUP(G$2,MODULY_CBA!$B$3:$I$23,8,0)=$D40,SUMIF('Rozpocet - Vyvoj aplikacii'!$B$3:$B$179,'TCO TO BE- SW'!G$2,'Rozpocet - Vyvoj aplikacii'!$J$3:$J$179),0),0)</f>
        <v>0</v>
      </c>
      <c r="H40" s="577">
        <f>IFERROR(IF(VLOOKUP(H$2,MODULY_CBA!$B$3:$I$23,8,0)=$D40,SUMIF('Rozpocet - Vyvoj aplikacii'!$B$3:$B$179,'TCO TO BE- SW'!H$2,'Rozpocet - Vyvoj aplikacii'!$J$3:$J$179),0),0)</f>
        <v>0</v>
      </c>
      <c r="I40" s="577">
        <f>IFERROR(IF(VLOOKUP(I$2,MODULY_CBA!$B$3:$I$23,8,0)=$D40,SUMIF('Rozpocet - Vyvoj aplikacii'!$B$3:$B$179,'TCO TO BE- SW'!I$2,'Rozpocet - Vyvoj aplikacii'!$J$3:$J$179),0),0)</f>
        <v>0</v>
      </c>
      <c r="J40" s="577">
        <f>IFERROR(IF(VLOOKUP(J$2,MODULY_CBA!$B$3:$I$23,8,0)=$D40,SUMIF('Rozpocet - Vyvoj aplikacii'!$B$3:$B$179,'TCO TO BE- SW'!J$2,'Rozpocet - Vyvoj aplikacii'!$J$3:$J$179),0),0)</f>
        <v>0</v>
      </c>
      <c r="K40" s="577">
        <f>IFERROR(IF(VLOOKUP(K$2,MODULY_CBA!$B$3:$I$23,8,0)=$D40,SUMIF('Rozpocet - Vyvoj aplikacii'!$B$3:$B$179,'TCO TO BE- SW'!K$2,'Rozpocet - Vyvoj aplikacii'!$J$3:$J$179),0),0)</f>
        <v>0</v>
      </c>
      <c r="L40" s="577">
        <f>IFERROR(IF(VLOOKUP(L$2,MODULY_CBA!$B$3:$I$23,8,0)=$D40,SUMIF('Rozpocet - Vyvoj aplikacii'!$B$3:$B$179,'TCO TO BE- SW'!L$2,'Rozpocet - Vyvoj aplikacii'!$J$3:$J$179),0),0)</f>
        <v>0</v>
      </c>
      <c r="M40" s="577">
        <f>IFERROR(IF(VLOOKUP(M$2,MODULY_CBA!$B$3:$I$23,8,0)=$D40,SUMIF('Rozpocet - Vyvoj aplikacii'!$B$3:$B$179,'TCO TO BE- SW'!M$2,'Rozpocet - Vyvoj aplikacii'!$J$3:$J$179),0),0)</f>
        <v>0</v>
      </c>
      <c r="N40" s="577">
        <f>IFERROR(IF(VLOOKUP(N$2,MODULY_CBA!$B$3:$I$23,8,0)=$D40,SUMIF('Rozpocet - Vyvoj aplikacii'!$B$3:$B$179,'TCO TO BE- SW'!N$2,'Rozpocet - Vyvoj aplikacii'!$J$3:$J$179),0),0)</f>
        <v>0</v>
      </c>
      <c r="O40" s="577">
        <f>IFERROR(IF(VLOOKUP(O$2,MODULY_CBA!$B$3:$I$23,8,0)=$D40,SUMIF('Rozpocet - Vyvoj aplikacii'!$B$3:$B$179,'TCO TO BE- SW'!O$2,'Rozpocet - Vyvoj aplikacii'!$J$3:$J$179),0),0)</f>
        <v>0</v>
      </c>
      <c r="P40" s="577">
        <f>IFERROR(IF(VLOOKUP(P$2,MODULY_CBA!$B$3:$I$23,8,0)=$D40,SUMIF('Rozpocet - Vyvoj aplikacii'!$B$3:$B$179,'TCO TO BE- SW'!P$2,'Rozpocet - Vyvoj aplikacii'!$J$3:$J$179),0),0)</f>
        <v>0</v>
      </c>
      <c r="Q40" s="577">
        <f>IFERROR(IF(VLOOKUP(Q$2,MODULY_CBA!$B$3:$I$23,8,0)=$D40,SUMIF('Rozpocet - Vyvoj aplikacii'!$B$3:$B$179,'TCO TO BE- SW'!Q$2,'Rozpocet - Vyvoj aplikacii'!$J$3:$J$179),0),0)</f>
        <v>0</v>
      </c>
      <c r="R40" s="577">
        <f>IFERROR(IF(VLOOKUP(R$2,MODULY_CBA!$B$3:$I$23,8,0)=$D40,SUMIF('Rozpocet - Vyvoj aplikacii'!$B$3:$B$179,'TCO TO BE- SW'!R$2,'Rozpocet - Vyvoj aplikacii'!$J$3:$J$179),0),0)</f>
        <v>0</v>
      </c>
      <c r="S40" s="577">
        <f>IFERROR(IF(VLOOKUP(S$2,MODULY_CBA!$B$3:$I$23,8,0)=$D40,SUMIF('Rozpocet - Vyvoj aplikacii'!$B$3:$B$179,'TCO TO BE- SW'!S$2,'Rozpocet - Vyvoj aplikacii'!$J$3:$J$179),0),0)</f>
        <v>0</v>
      </c>
      <c r="T40" s="577">
        <f>IFERROR(IF(VLOOKUP(T$2,MODULY_CBA!$B$3:$I$23,8,0)=$D40,SUMIF('Rozpocet - Vyvoj aplikacii'!$B$3:$B$179,'TCO TO BE- SW'!T$2,'Rozpocet - Vyvoj aplikacii'!$J$3:$J$179),0),0)</f>
        <v>0</v>
      </c>
      <c r="U40" s="577">
        <f>IFERROR(IF(VLOOKUP(U$2,MODULY_CBA!$B$3:$I$23,8,0)=$D40,SUMIF('Rozpocet - Vyvoj aplikacii'!$B$3:$B$179,'TCO TO BE- SW'!U$2,'Rozpocet - Vyvoj aplikacii'!$J$3:$J$179),0),0)</f>
        <v>0</v>
      </c>
      <c r="V40" s="577">
        <f>IFERROR(IF(VLOOKUP(V$2,MODULY_CBA!$B$3:$I$23,8,0)=$D40,SUMIF('Rozpocet - Vyvoj aplikacii'!$B$3:$B$179,'TCO TO BE- SW'!V$2,'Rozpocet - Vyvoj aplikacii'!$J$3:$J$179),0),0)</f>
        <v>0</v>
      </c>
      <c r="W40" s="577">
        <f>IFERROR(IF(VLOOKUP(W$2,MODULY_CBA!$B$3:$I$23,8,0)=$D40,SUMIF('Rozpocet - Vyvoj aplikacii'!$B$3:$B$179,'TCO TO BE- SW'!W$2,'Rozpocet - Vyvoj aplikacii'!$J$3:$J$179),0),0)</f>
        <v>0</v>
      </c>
      <c r="X40" s="577">
        <f>IFERROR(IF(VLOOKUP(X$2,MODULY_CBA!$B$3:$I$23,8,0)=$D40,SUMIF('Rozpocet - Vyvoj aplikacii'!$B$3:$B$179,'TCO TO BE- SW'!X$2,'Rozpocet - Vyvoj aplikacii'!$J$3:$J$179),0),0)</f>
        <v>0</v>
      </c>
      <c r="Y40" s="577">
        <f>IFERROR(IF(VLOOKUP(Y$2,MODULY_CBA!$B$3:$I$23,8,0)=$D40,SUMIF('Rozpocet - Vyvoj aplikacii'!$B$3:$B$179,'TCO TO BE- SW'!Y$2,'Rozpocet - Vyvoj aplikacii'!$J$3:$J$179),0),0)</f>
        <v>0</v>
      </c>
      <c r="Z40" s="577">
        <f>IFERROR(IF(VLOOKUP(Z$2,MODULY_CBA!$B$3:$I$23,8,0)=$D40,SUMIF('Rozpocet - Vyvoj aplikacii'!$B$3:$B$179,'TCO TO BE- SW'!Z$2,'Rozpocet - Vyvoj aplikacii'!$J$3:$J$179),0),0)</f>
        <v>0</v>
      </c>
    </row>
    <row r="41" spans="1:26" outlineLevel="2">
      <c r="A41" s="824"/>
      <c r="B41" s="825"/>
      <c r="C41" s="825"/>
      <c r="D41" s="64">
        <v>5</v>
      </c>
      <c r="E41" s="68">
        <f t="shared" si="6"/>
        <v>0</v>
      </c>
      <c r="F41" s="577">
        <f>IFERROR(IF(VLOOKUP(F$2,MODULY_CBA!$B$3:$I$23,8,0)=$D41,SUMIF('Rozpocet - Vyvoj aplikacii'!$B$3:$B$179,'TCO TO BE- SW'!F$2,'Rozpocet - Vyvoj aplikacii'!$J$3:$J$179),0),0)</f>
        <v>0</v>
      </c>
      <c r="G41" s="577">
        <f>IFERROR(IF(VLOOKUP(G$2,MODULY_CBA!$B$3:$I$23,8,0)=$D41,SUMIF('Rozpocet - Vyvoj aplikacii'!$B$3:$B$179,'TCO TO BE- SW'!G$2,'Rozpocet - Vyvoj aplikacii'!$J$3:$J$179),0),0)</f>
        <v>0</v>
      </c>
      <c r="H41" s="577">
        <f>IFERROR(IF(VLOOKUP(H$2,MODULY_CBA!$B$3:$I$23,8,0)=$D41,SUMIF('Rozpocet - Vyvoj aplikacii'!$B$3:$B$179,'TCO TO BE- SW'!H$2,'Rozpocet - Vyvoj aplikacii'!$J$3:$J$179),0),0)</f>
        <v>0</v>
      </c>
      <c r="I41" s="577">
        <f>IFERROR(IF(VLOOKUP(I$2,MODULY_CBA!$B$3:$I$23,8,0)=$D41,SUMIF('Rozpocet - Vyvoj aplikacii'!$B$3:$B$179,'TCO TO BE- SW'!I$2,'Rozpocet - Vyvoj aplikacii'!$J$3:$J$179),0),0)</f>
        <v>0</v>
      </c>
      <c r="J41" s="577">
        <f>IFERROR(IF(VLOOKUP(J$2,MODULY_CBA!$B$3:$I$23,8,0)=$D41,SUMIF('Rozpocet - Vyvoj aplikacii'!$B$3:$B$179,'TCO TO BE- SW'!J$2,'Rozpocet - Vyvoj aplikacii'!$J$3:$J$179),0),0)</f>
        <v>0</v>
      </c>
      <c r="K41" s="577">
        <f>IFERROR(IF(VLOOKUP(K$2,MODULY_CBA!$B$3:$I$23,8,0)=$D41,SUMIF('Rozpocet - Vyvoj aplikacii'!$B$3:$B$179,'TCO TO BE- SW'!K$2,'Rozpocet - Vyvoj aplikacii'!$J$3:$J$179),0),0)</f>
        <v>0</v>
      </c>
      <c r="L41" s="577">
        <f>IFERROR(IF(VLOOKUP(L$2,MODULY_CBA!$B$3:$I$23,8,0)=$D41,SUMIF('Rozpocet - Vyvoj aplikacii'!$B$3:$B$179,'TCO TO BE- SW'!L$2,'Rozpocet - Vyvoj aplikacii'!$J$3:$J$179),0),0)</f>
        <v>0</v>
      </c>
      <c r="M41" s="577">
        <f>IFERROR(IF(VLOOKUP(M$2,MODULY_CBA!$B$3:$I$23,8,0)=$D41,SUMIF('Rozpocet - Vyvoj aplikacii'!$B$3:$B$179,'TCO TO BE- SW'!M$2,'Rozpocet - Vyvoj aplikacii'!$J$3:$J$179),0),0)</f>
        <v>0</v>
      </c>
      <c r="N41" s="577">
        <f>IFERROR(IF(VLOOKUP(N$2,MODULY_CBA!$B$3:$I$23,8,0)=$D41,SUMIF('Rozpocet - Vyvoj aplikacii'!$B$3:$B$179,'TCO TO BE- SW'!N$2,'Rozpocet - Vyvoj aplikacii'!$J$3:$J$179),0),0)</f>
        <v>0</v>
      </c>
      <c r="O41" s="577">
        <f>IFERROR(IF(VLOOKUP(O$2,MODULY_CBA!$B$3:$I$23,8,0)=$D41,SUMIF('Rozpocet - Vyvoj aplikacii'!$B$3:$B$179,'TCO TO BE- SW'!O$2,'Rozpocet - Vyvoj aplikacii'!$J$3:$J$179),0),0)</f>
        <v>0</v>
      </c>
      <c r="P41" s="577">
        <f>IFERROR(IF(VLOOKUP(P$2,MODULY_CBA!$B$3:$I$23,8,0)=$D41,SUMIF('Rozpocet - Vyvoj aplikacii'!$B$3:$B$179,'TCO TO BE- SW'!P$2,'Rozpocet - Vyvoj aplikacii'!$J$3:$J$179),0),0)</f>
        <v>0</v>
      </c>
      <c r="Q41" s="577">
        <f>IFERROR(IF(VLOOKUP(Q$2,MODULY_CBA!$B$3:$I$23,8,0)=$D41,SUMIF('Rozpocet - Vyvoj aplikacii'!$B$3:$B$179,'TCO TO BE- SW'!Q$2,'Rozpocet - Vyvoj aplikacii'!$J$3:$J$179),0),0)</f>
        <v>0</v>
      </c>
      <c r="R41" s="577">
        <f>IFERROR(IF(VLOOKUP(R$2,MODULY_CBA!$B$3:$I$23,8,0)=$D41,SUMIF('Rozpocet - Vyvoj aplikacii'!$B$3:$B$179,'TCO TO BE- SW'!R$2,'Rozpocet - Vyvoj aplikacii'!$J$3:$J$179),0),0)</f>
        <v>0</v>
      </c>
      <c r="S41" s="577">
        <f>IFERROR(IF(VLOOKUP(S$2,MODULY_CBA!$B$3:$I$23,8,0)=$D41,SUMIF('Rozpocet - Vyvoj aplikacii'!$B$3:$B$179,'TCO TO BE- SW'!S$2,'Rozpocet - Vyvoj aplikacii'!$J$3:$J$179),0),0)</f>
        <v>0</v>
      </c>
      <c r="T41" s="577">
        <f>IFERROR(IF(VLOOKUP(T$2,MODULY_CBA!$B$3:$I$23,8,0)=$D41,SUMIF('Rozpocet - Vyvoj aplikacii'!$B$3:$B$179,'TCO TO BE- SW'!T$2,'Rozpocet - Vyvoj aplikacii'!$J$3:$J$179),0),0)</f>
        <v>0</v>
      </c>
      <c r="U41" s="577">
        <f>IFERROR(IF(VLOOKUP(U$2,MODULY_CBA!$B$3:$I$23,8,0)=$D41,SUMIF('Rozpocet - Vyvoj aplikacii'!$B$3:$B$179,'TCO TO BE- SW'!U$2,'Rozpocet - Vyvoj aplikacii'!$J$3:$J$179),0),0)</f>
        <v>0</v>
      </c>
      <c r="V41" s="577">
        <f>IFERROR(IF(VLOOKUP(V$2,MODULY_CBA!$B$3:$I$23,8,0)=$D41,SUMIF('Rozpocet - Vyvoj aplikacii'!$B$3:$B$179,'TCO TO BE- SW'!V$2,'Rozpocet - Vyvoj aplikacii'!$J$3:$J$179),0),0)</f>
        <v>0</v>
      </c>
      <c r="W41" s="577">
        <f>IFERROR(IF(VLOOKUP(W$2,MODULY_CBA!$B$3:$I$23,8,0)=$D41,SUMIF('Rozpocet - Vyvoj aplikacii'!$B$3:$B$179,'TCO TO BE- SW'!W$2,'Rozpocet - Vyvoj aplikacii'!$J$3:$J$179),0),0)</f>
        <v>0</v>
      </c>
      <c r="X41" s="577">
        <f>IFERROR(IF(VLOOKUP(X$2,MODULY_CBA!$B$3:$I$23,8,0)=$D41,SUMIF('Rozpocet - Vyvoj aplikacii'!$B$3:$B$179,'TCO TO BE- SW'!X$2,'Rozpocet - Vyvoj aplikacii'!$J$3:$J$179),0),0)</f>
        <v>0</v>
      </c>
      <c r="Y41" s="577">
        <f>IFERROR(IF(VLOOKUP(Y$2,MODULY_CBA!$B$3:$I$23,8,0)=$D41,SUMIF('Rozpocet - Vyvoj aplikacii'!$B$3:$B$179,'TCO TO BE- SW'!Y$2,'Rozpocet - Vyvoj aplikacii'!$J$3:$J$179),0),0)</f>
        <v>0</v>
      </c>
      <c r="Z41" s="577">
        <f>IFERROR(IF(VLOOKUP(Z$2,MODULY_CBA!$B$3:$I$23,8,0)=$D41,SUMIF('Rozpocet - Vyvoj aplikacii'!$B$3:$B$179,'TCO TO BE- SW'!Z$2,'Rozpocet - Vyvoj aplikacii'!$J$3:$J$179),0),0)</f>
        <v>0</v>
      </c>
    </row>
    <row r="42" spans="1:26" outlineLevel="2">
      <c r="A42" s="824"/>
      <c r="B42" s="825"/>
      <c r="C42" s="825"/>
      <c r="D42" s="64">
        <v>6</v>
      </c>
      <c r="E42" s="68">
        <f t="shared" si="6"/>
        <v>0</v>
      </c>
      <c r="F42" s="577">
        <f>IFERROR(IF(VLOOKUP(F$2,MODULY_CBA!$B$3:$I$23,8,0)=$D42,SUMIF('Rozpocet - Vyvoj aplikacii'!$B$3:$B$179,'TCO TO BE- SW'!F$2,'Rozpocet - Vyvoj aplikacii'!$J$3:$J$179),0),0)</f>
        <v>0</v>
      </c>
      <c r="G42" s="577">
        <f>IFERROR(IF(VLOOKUP(G$2,MODULY_CBA!$B$3:$I$23,8,0)=$D42,SUMIF('Rozpocet - Vyvoj aplikacii'!$B$3:$B$179,'TCO TO BE- SW'!G$2,'Rozpocet - Vyvoj aplikacii'!$J$3:$J$179),0),0)</f>
        <v>0</v>
      </c>
      <c r="H42" s="577">
        <f>IFERROR(IF(VLOOKUP(H$2,MODULY_CBA!$B$3:$I$23,8,0)=$D42,SUMIF('Rozpocet - Vyvoj aplikacii'!$B$3:$B$179,'TCO TO BE- SW'!H$2,'Rozpocet - Vyvoj aplikacii'!$J$3:$J$179),0),0)</f>
        <v>0</v>
      </c>
      <c r="I42" s="577">
        <f>IFERROR(IF(VLOOKUP(I$2,MODULY_CBA!$B$3:$I$23,8,0)=$D42,SUMIF('Rozpocet - Vyvoj aplikacii'!$B$3:$B$179,'TCO TO BE- SW'!I$2,'Rozpocet - Vyvoj aplikacii'!$J$3:$J$179),0),0)</f>
        <v>0</v>
      </c>
      <c r="J42" s="577">
        <f>IFERROR(IF(VLOOKUP(J$2,MODULY_CBA!$B$3:$I$23,8,0)=$D42,SUMIF('Rozpocet - Vyvoj aplikacii'!$B$3:$B$179,'TCO TO BE- SW'!J$2,'Rozpocet - Vyvoj aplikacii'!$J$3:$J$179),0),0)</f>
        <v>0</v>
      </c>
      <c r="K42" s="577">
        <f>IFERROR(IF(VLOOKUP(K$2,MODULY_CBA!$B$3:$I$23,8,0)=$D42,SUMIF('Rozpocet - Vyvoj aplikacii'!$B$3:$B$179,'TCO TO BE- SW'!K$2,'Rozpocet - Vyvoj aplikacii'!$J$3:$J$179),0),0)</f>
        <v>0</v>
      </c>
      <c r="L42" s="577">
        <f>IFERROR(IF(VLOOKUP(L$2,MODULY_CBA!$B$3:$I$23,8,0)=$D42,SUMIF('Rozpocet - Vyvoj aplikacii'!$B$3:$B$179,'TCO TO BE- SW'!L$2,'Rozpocet - Vyvoj aplikacii'!$J$3:$J$179),0),0)</f>
        <v>0</v>
      </c>
      <c r="M42" s="577">
        <f>IFERROR(IF(VLOOKUP(M$2,MODULY_CBA!$B$3:$I$23,8,0)=$D42,SUMIF('Rozpocet - Vyvoj aplikacii'!$B$3:$B$179,'TCO TO BE- SW'!M$2,'Rozpocet - Vyvoj aplikacii'!$J$3:$J$179),0),0)</f>
        <v>0</v>
      </c>
      <c r="N42" s="577">
        <f>IFERROR(IF(VLOOKUP(N$2,MODULY_CBA!$B$3:$I$23,8,0)=$D42,SUMIF('Rozpocet - Vyvoj aplikacii'!$B$3:$B$179,'TCO TO BE- SW'!N$2,'Rozpocet - Vyvoj aplikacii'!$J$3:$J$179),0),0)</f>
        <v>0</v>
      </c>
      <c r="O42" s="577">
        <f>IFERROR(IF(VLOOKUP(O$2,MODULY_CBA!$B$3:$I$23,8,0)=$D42,SUMIF('Rozpocet - Vyvoj aplikacii'!$B$3:$B$179,'TCO TO BE- SW'!O$2,'Rozpocet - Vyvoj aplikacii'!$J$3:$J$179),0),0)</f>
        <v>0</v>
      </c>
      <c r="P42" s="577">
        <f>IFERROR(IF(VLOOKUP(P$2,MODULY_CBA!$B$3:$I$23,8,0)=$D42,SUMIF('Rozpocet - Vyvoj aplikacii'!$B$3:$B$179,'TCO TO BE- SW'!P$2,'Rozpocet - Vyvoj aplikacii'!$J$3:$J$179),0),0)</f>
        <v>0</v>
      </c>
      <c r="Q42" s="577">
        <f>IFERROR(IF(VLOOKUP(Q$2,MODULY_CBA!$B$3:$I$23,8,0)=$D42,SUMIF('Rozpocet - Vyvoj aplikacii'!$B$3:$B$179,'TCO TO BE- SW'!Q$2,'Rozpocet - Vyvoj aplikacii'!$J$3:$J$179),0),0)</f>
        <v>0</v>
      </c>
      <c r="R42" s="577">
        <f>IFERROR(IF(VLOOKUP(R$2,MODULY_CBA!$B$3:$I$23,8,0)=$D42,SUMIF('Rozpocet - Vyvoj aplikacii'!$B$3:$B$179,'TCO TO BE- SW'!R$2,'Rozpocet - Vyvoj aplikacii'!$J$3:$J$179),0),0)</f>
        <v>0</v>
      </c>
      <c r="S42" s="577">
        <f>IFERROR(IF(VLOOKUP(S$2,MODULY_CBA!$B$3:$I$23,8,0)=$D42,SUMIF('Rozpocet - Vyvoj aplikacii'!$B$3:$B$179,'TCO TO BE- SW'!S$2,'Rozpocet - Vyvoj aplikacii'!$J$3:$J$179),0),0)</f>
        <v>0</v>
      </c>
      <c r="T42" s="577">
        <f>IFERROR(IF(VLOOKUP(T$2,MODULY_CBA!$B$3:$I$23,8,0)=$D42,SUMIF('Rozpocet - Vyvoj aplikacii'!$B$3:$B$179,'TCO TO BE- SW'!T$2,'Rozpocet - Vyvoj aplikacii'!$J$3:$J$179),0),0)</f>
        <v>0</v>
      </c>
      <c r="U42" s="577">
        <f>IFERROR(IF(VLOOKUP(U$2,MODULY_CBA!$B$3:$I$23,8,0)=$D42,SUMIF('Rozpocet - Vyvoj aplikacii'!$B$3:$B$179,'TCO TO BE- SW'!U$2,'Rozpocet - Vyvoj aplikacii'!$J$3:$J$179),0),0)</f>
        <v>0</v>
      </c>
      <c r="V42" s="577">
        <f>IFERROR(IF(VLOOKUP(V$2,MODULY_CBA!$B$3:$I$23,8,0)=$D42,SUMIF('Rozpocet - Vyvoj aplikacii'!$B$3:$B$179,'TCO TO BE- SW'!V$2,'Rozpocet - Vyvoj aplikacii'!$J$3:$J$179),0),0)</f>
        <v>0</v>
      </c>
      <c r="W42" s="577">
        <f>IFERROR(IF(VLOOKUP(W$2,MODULY_CBA!$B$3:$I$23,8,0)=$D42,SUMIF('Rozpocet - Vyvoj aplikacii'!$B$3:$B$179,'TCO TO BE- SW'!W$2,'Rozpocet - Vyvoj aplikacii'!$J$3:$J$179),0),0)</f>
        <v>0</v>
      </c>
      <c r="X42" s="577">
        <f>IFERROR(IF(VLOOKUP(X$2,MODULY_CBA!$B$3:$I$23,8,0)=$D42,SUMIF('Rozpocet - Vyvoj aplikacii'!$B$3:$B$179,'TCO TO BE- SW'!X$2,'Rozpocet - Vyvoj aplikacii'!$J$3:$J$179),0),0)</f>
        <v>0</v>
      </c>
      <c r="Y42" s="577">
        <f>IFERROR(IF(VLOOKUP(Y$2,MODULY_CBA!$B$3:$I$23,8,0)=$D42,SUMIF('Rozpocet - Vyvoj aplikacii'!$B$3:$B$179,'TCO TO BE- SW'!Y$2,'Rozpocet - Vyvoj aplikacii'!$J$3:$J$179),0),0)</f>
        <v>0</v>
      </c>
      <c r="Z42" s="577">
        <f>IFERROR(IF(VLOOKUP(Z$2,MODULY_CBA!$B$3:$I$23,8,0)=$D42,SUMIF('Rozpocet - Vyvoj aplikacii'!$B$3:$B$179,'TCO TO BE- SW'!Z$2,'Rozpocet - Vyvoj aplikacii'!$J$3:$J$179),0),0)</f>
        <v>0</v>
      </c>
    </row>
    <row r="43" spans="1:26" outlineLevel="2">
      <c r="A43" s="824"/>
      <c r="B43" s="825"/>
      <c r="C43" s="825"/>
      <c r="D43" s="64">
        <v>7</v>
      </c>
      <c r="E43" s="68">
        <f t="shared" si="6"/>
        <v>0</v>
      </c>
      <c r="F43" s="577">
        <f>IFERROR(IF(VLOOKUP(F$2,MODULY_CBA!$B$3:$I$23,8,0)=$D43,SUMIF('Rozpocet - Vyvoj aplikacii'!$B$3:$B$179,'TCO TO BE- SW'!F$2,'Rozpocet - Vyvoj aplikacii'!$J$3:$J$179),0),0)</f>
        <v>0</v>
      </c>
      <c r="G43" s="577">
        <f>IFERROR(IF(VLOOKUP(G$2,MODULY_CBA!$B$3:$I$23,8,0)=$D43,SUMIF('Rozpocet - Vyvoj aplikacii'!$B$3:$B$179,'TCO TO BE- SW'!G$2,'Rozpocet - Vyvoj aplikacii'!$J$3:$J$179),0),0)</f>
        <v>0</v>
      </c>
      <c r="H43" s="577">
        <f>IFERROR(IF(VLOOKUP(H$2,MODULY_CBA!$B$3:$I$23,8,0)=$D43,SUMIF('Rozpocet - Vyvoj aplikacii'!$B$3:$B$179,'TCO TO BE- SW'!H$2,'Rozpocet - Vyvoj aplikacii'!$J$3:$J$179),0),0)</f>
        <v>0</v>
      </c>
      <c r="I43" s="577">
        <f>IFERROR(IF(VLOOKUP(I$2,MODULY_CBA!$B$3:$I$23,8,0)=$D43,SUMIF('Rozpocet - Vyvoj aplikacii'!$B$3:$B$179,'TCO TO BE- SW'!I$2,'Rozpocet - Vyvoj aplikacii'!$J$3:$J$179),0),0)</f>
        <v>0</v>
      </c>
      <c r="J43" s="577">
        <f>IFERROR(IF(VLOOKUP(J$2,MODULY_CBA!$B$3:$I$23,8,0)=$D43,SUMIF('Rozpocet - Vyvoj aplikacii'!$B$3:$B$179,'TCO TO BE- SW'!J$2,'Rozpocet - Vyvoj aplikacii'!$J$3:$J$179),0),0)</f>
        <v>0</v>
      </c>
      <c r="K43" s="577">
        <f>IFERROR(IF(VLOOKUP(K$2,MODULY_CBA!$B$3:$I$23,8,0)=$D43,SUMIF('Rozpocet - Vyvoj aplikacii'!$B$3:$B$179,'TCO TO BE- SW'!K$2,'Rozpocet - Vyvoj aplikacii'!$J$3:$J$179),0),0)</f>
        <v>0</v>
      </c>
      <c r="L43" s="577">
        <f>IFERROR(IF(VLOOKUP(L$2,MODULY_CBA!$B$3:$I$23,8,0)=$D43,SUMIF('Rozpocet - Vyvoj aplikacii'!$B$3:$B$179,'TCO TO BE- SW'!L$2,'Rozpocet - Vyvoj aplikacii'!$J$3:$J$179),0),0)</f>
        <v>0</v>
      </c>
      <c r="M43" s="577">
        <f>IFERROR(IF(VLOOKUP(M$2,MODULY_CBA!$B$3:$I$23,8,0)=$D43,SUMIF('Rozpocet - Vyvoj aplikacii'!$B$3:$B$179,'TCO TO BE- SW'!M$2,'Rozpocet - Vyvoj aplikacii'!$J$3:$J$179),0),0)</f>
        <v>0</v>
      </c>
      <c r="N43" s="577">
        <f>IFERROR(IF(VLOOKUP(N$2,MODULY_CBA!$B$3:$I$23,8,0)=$D43,SUMIF('Rozpocet - Vyvoj aplikacii'!$B$3:$B$179,'TCO TO BE- SW'!N$2,'Rozpocet - Vyvoj aplikacii'!$J$3:$J$179),0),0)</f>
        <v>0</v>
      </c>
      <c r="O43" s="577">
        <f>IFERROR(IF(VLOOKUP(O$2,MODULY_CBA!$B$3:$I$23,8,0)=$D43,SUMIF('Rozpocet - Vyvoj aplikacii'!$B$3:$B$179,'TCO TO BE- SW'!O$2,'Rozpocet - Vyvoj aplikacii'!$J$3:$J$179),0),0)</f>
        <v>0</v>
      </c>
      <c r="P43" s="577">
        <f>IFERROR(IF(VLOOKUP(P$2,MODULY_CBA!$B$3:$I$23,8,0)=$D43,SUMIF('Rozpocet - Vyvoj aplikacii'!$B$3:$B$179,'TCO TO BE- SW'!P$2,'Rozpocet - Vyvoj aplikacii'!$J$3:$J$179),0),0)</f>
        <v>0</v>
      </c>
      <c r="Q43" s="577">
        <f>IFERROR(IF(VLOOKUP(Q$2,MODULY_CBA!$B$3:$I$23,8,0)=$D43,SUMIF('Rozpocet - Vyvoj aplikacii'!$B$3:$B$179,'TCO TO BE- SW'!Q$2,'Rozpocet - Vyvoj aplikacii'!$J$3:$J$179),0),0)</f>
        <v>0</v>
      </c>
      <c r="R43" s="577">
        <f>IFERROR(IF(VLOOKUP(R$2,MODULY_CBA!$B$3:$I$23,8,0)=$D43,SUMIF('Rozpocet - Vyvoj aplikacii'!$B$3:$B$179,'TCO TO BE- SW'!R$2,'Rozpocet - Vyvoj aplikacii'!$J$3:$J$179),0),0)</f>
        <v>0</v>
      </c>
      <c r="S43" s="577">
        <f>IFERROR(IF(VLOOKUP(S$2,MODULY_CBA!$B$3:$I$23,8,0)=$D43,SUMIF('Rozpocet - Vyvoj aplikacii'!$B$3:$B$179,'TCO TO BE- SW'!S$2,'Rozpocet - Vyvoj aplikacii'!$J$3:$J$179),0),0)</f>
        <v>0</v>
      </c>
      <c r="T43" s="577">
        <f>IFERROR(IF(VLOOKUP(T$2,MODULY_CBA!$B$3:$I$23,8,0)=$D43,SUMIF('Rozpocet - Vyvoj aplikacii'!$B$3:$B$179,'TCO TO BE- SW'!T$2,'Rozpocet - Vyvoj aplikacii'!$J$3:$J$179),0),0)</f>
        <v>0</v>
      </c>
      <c r="U43" s="577">
        <f>IFERROR(IF(VLOOKUP(U$2,MODULY_CBA!$B$3:$I$23,8,0)=$D43,SUMIF('Rozpocet - Vyvoj aplikacii'!$B$3:$B$179,'TCO TO BE- SW'!U$2,'Rozpocet - Vyvoj aplikacii'!$J$3:$J$179),0),0)</f>
        <v>0</v>
      </c>
      <c r="V43" s="577">
        <f>IFERROR(IF(VLOOKUP(V$2,MODULY_CBA!$B$3:$I$23,8,0)=$D43,SUMIF('Rozpocet - Vyvoj aplikacii'!$B$3:$B$179,'TCO TO BE- SW'!V$2,'Rozpocet - Vyvoj aplikacii'!$J$3:$J$179),0),0)</f>
        <v>0</v>
      </c>
      <c r="W43" s="577">
        <f>IFERROR(IF(VLOOKUP(W$2,MODULY_CBA!$B$3:$I$23,8,0)=$D43,SUMIF('Rozpocet - Vyvoj aplikacii'!$B$3:$B$179,'TCO TO BE- SW'!W$2,'Rozpocet - Vyvoj aplikacii'!$J$3:$J$179),0),0)</f>
        <v>0</v>
      </c>
      <c r="X43" s="577">
        <f>IFERROR(IF(VLOOKUP(X$2,MODULY_CBA!$B$3:$I$23,8,0)=$D43,SUMIF('Rozpocet - Vyvoj aplikacii'!$B$3:$B$179,'TCO TO BE- SW'!X$2,'Rozpocet - Vyvoj aplikacii'!$J$3:$J$179),0),0)</f>
        <v>0</v>
      </c>
      <c r="Y43" s="577">
        <f>IFERROR(IF(VLOOKUP(Y$2,MODULY_CBA!$B$3:$I$23,8,0)=$D43,SUMIF('Rozpocet - Vyvoj aplikacii'!$B$3:$B$179,'TCO TO BE- SW'!Y$2,'Rozpocet - Vyvoj aplikacii'!$J$3:$J$179),0),0)</f>
        <v>0</v>
      </c>
      <c r="Z43" s="577">
        <f>IFERROR(IF(VLOOKUP(Z$2,MODULY_CBA!$B$3:$I$23,8,0)=$D43,SUMIF('Rozpocet - Vyvoj aplikacii'!$B$3:$B$179,'TCO TO BE- SW'!Z$2,'Rozpocet - Vyvoj aplikacii'!$J$3:$J$179),0),0)</f>
        <v>0</v>
      </c>
    </row>
    <row r="44" spans="1:26" outlineLevel="2">
      <c r="A44" s="824"/>
      <c r="B44" s="825"/>
      <c r="C44" s="825"/>
      <c r="D44" s="64">
        <v>8</v>
      </c>
      <c r="E44" s="68">
        <f t="shared" si="6"/>
        <v>0</v>
      </c>
      <c r="F44" s="577">
        <f>IFERROR(IF(VLOOKUP(F$2,MODULY_CBA!$B$3:$I$23,8,0)=$D44,SUMIF('Rozpocet - Vyvoj aplikacii'!$B$3:$B$179,'TCO TO BE- SW'!F$2,'Rozpocet - Vyvoj aplikacii'!$J$3:$J$179),0),0)</f>
        <v>0</v>
      </c>
      <c r="G44" s="577">
        <f>IFERROR(IF(VLOOKUP(G$2,MODULY_CBA!$B$3:$I$23,8,0)=$D44,SUMIF('Rozpocet - Vyvoj aplikacii'!$B$3:$B$179,'TCO TO BE- SW'!G$2,'Rozpocet - Vyvoj aplikacii'!$J$3:$J$179),0),0)</f>
        <v>0</v>
      </c>
      <c r="H44" s="577">
        <f>IFERROR(IF(VLOOKUP(H$2,MODULY_CBA!$B$3:$I$23,8,0)=$D44,SUMIF('Rozpocet - Vyvoj aplikacii'!$B$3:$B$179,'TCO TO BE- SW'!H$2,'Rozpocet - Vyvoj aplikacii'!$J$3:$J$179),0),0)</f>
        <v>0</v>
      </c>
      <c r="I44" s="577">
        <f>IFERROR(IF(VLOOKUP(I$2,MODULY_CBA!$B$3:$I$23,8,0)=$D44,SUMIF('Rozpocet - Vyvoj aplikacii'!$B$3:$B$179,'TCO TO BE- SW'!I$2,'Rozpocet - Vyvoj aplikacii'!$J$3:$J$179),0),0)</f>
        <v>0</v>
      </c>
      <c r="J44" s="577">
        <f>IFERROR(IF(VLOOKUP(J$2,MODULY_CBA!$B$3:$I$23,8,0)=$D44,SUMIF('Rozpocet - Vyvoj aplikacii'!$B$3:$B$179,'TCO TO BE- SW'!J$2,'Rozpocet - Vyvoj aplikacii'!$J$3:$J$179),0),0)</f>
        <v>0</v>
      </c>
      <c r="K44" s="577">
        <f>IFERROR(IF(VLOOKUP(K$2,MODULY_CBA!$B$3:$I$23,8,0)=$D44,SUMIF('Rozpocet - Vyvoj aplikacii'!$B$3:$B$179,'TCO TO BE- SW'!K$2,'Rozpocet - Vyvoj aplikacii'!$J$3:$J$179),0),0)</f>
        <v>0</v>
      </c>
      <c r="L44" s="577">
        <f>IFERROR(IF(VLOOKUP(L$2,MODULY_CBA!$B$3:$I$23,8,0)=$D44,SUMIF('Rozpocet - Vyvoj aplikacii'!$B$3:$B$179,'TCO TO BE- SW'!L$2,'Rozpocet - Vyvoj aplikacii'!$J$3:$J$179),0),0)</f>
        <v>0</v>
      </c>
      <c r="M44" s="577">
        <f>IFERROR(IF(VLOOKUP(M$2,MODULY_CBA!$B$3:$I$23,8,0)=$D44,SUMIF('Rozpocet - Vyvoj aplikacii'!$B$3:$B$179,'TCO TO BE- SW'!M$2,'Rozpocet - Vyvoj aplikacii'!$J$3:$J$179),0),0)</f>
        <v>0</v>
      </c>
      <c r="N44" s="577">
        <f>IFERROR(IF(VLOOKUP(N$2,MODULY_CBA!$B$3:$I$23,8,0)=$D44,SUMIF('Rozpocet - Vyvoj aplikacii'!$B$3:$B$179,'TCO TO BE- SW'!N$2,'Rozpocet - Vyvoj aplikacii'!$J$3:$J$179),0),0)</f>
        <v>0</v>
      </c>
      <c r="O44" s="577">
        <f>IFERROR(IF(VLOOKUP(O$2,MODULY_CBA!$B$3:$I$23,8,0)=$D44,SUMIF('Rozpocet - Vyvoj aplikacii'!$B$3:$B$179,'TCO TO BE- SW'!O$2,'Rozpocet - Vyvoj aplikacii'!$J$3:$J$179),0),0)</f>
        <v>0</v>
      </c>
      <c r="P44" s="577">
        <f>IFERROR(IF(VLOOKUP(P$2,MODULY_CBA!$B$3:$I$23,8,0)=$D44,SUMIF('Rozpocet - Vyvoj aplikacii'!$B$3:$B$179,'TCO TO BE- SW'!P$2,'Rozpocet - Vyvoj aplikacii'!$J$3:$J$179),0),0)</f>
        <v>0</v>
      </c>
      <c r="Q44" s="577">
        <f>IFERROR(IF(VLOOKUP(Q$2,MODULY_CBA!$B$3:$I$23,8,0)=$D44,SUMIF('Rozpocet - Vyvoj aplikacii'!$B$3:$B$179,'TCO TO BE- SW'!Q$2,'Rozpocet - Vyvoj aplikacii'!$J$3:$J$179),0),0)</f>
        <v>0</v>
      </c>
      <c r="R44" s="577">
        <f>IFERROR(IF(VLOOKUP(R$2,MODULY_CBA!$B$3:$I$23,8,0)=$D44,SUMIF('Rozpocet - Vyvoj aplikacii'!$B$3:$B$179,'TCO TO BE- SW'!R$2,'Rozpocet - Vyvoj aplikacii'!$J$3:$J$179),0),0)</f>
        <v>0</v>
      </c>
      <c r="S44" s="577">
        <f>IFERROR(IF(VLOOKUP(S$2,MODULY_CBA!$B$3:$I$23,8,0)=$D44,SUMIF('Rozpocet - Vyvoj aplikacii'!$B$3:$B$179,'TCO TO BE- SW'!S$2,'Rozpocet - Vyvoj aplikacii'!$J$3:$J$179),0),0)</f>
        <v>0</v>
      </c>
      <c r="T44" s="577">
        <f>IFERROR(IF(VLOOKUP(T$2,MODULY_CBA!$B$3:$I$23,8,0)=$D44,SUMIF('Rozpocet - Vyvoj aplikacii'!$B$3:$B$179,'TCO TO BE- SW'!T$2,'Rozpocet - Vyvoj aplikacii'!$J$3:$J$179),0),0)</f>
        <v>0</v>
      </c>
      <c r="U44" s="577">
        <f>IFERROR(IF(VLOOKUP(U$2,MODULY_CBA!$B$3:$I$23,8,0)=$D44,SUMIF('Rozpocet - Vyvoj aplikacii'!$B$3:$B$179,'TCO TO BE- SW'!U$2,'Rozpocet - Vyvoj aplikacii'!$J$3:$J$179),0),0)</f>
        <v>0</v>
      </c>
      <c r="V44" s="577">
        <f>IFERROR(IF(VLOOKUP(V$2,MODULY_CBA!$B$3:$I$23,8,0)=$D44,SUMIF('Rozpocet - Vyvoj aplikacii'!$B$3:$B$179,'TCO TO BE- SW'!V$2,'Rozpocet - Vyvoj aplikacii'!$J$3:$J$179),0),0)</f>
        <v>0</v>
      </c>
      <c r="W44" s="577">
        <f>IFERROR(IF(VLOOKUP(W$2,MODULY_CBA!$B$3:$I$23,8,0)=$D44,SUMIF('Rozpocet - Vyvoj aplikacii'!$B$3:$B$179,'TCO TO BE- SW'!W$2,'Rozpocet - Vyvoj aplikacii'!$J$3:$J$179),0),0)</f>
        <v>0</v>
      </c>
      <c r="X44" s="577">
        <f>IFERROR(IF(VLOOKUP(X$2,MODULY_CBA!$B$3:$I$23,8,0)=$D44,SUMIF('Rozpocet - Vyvoj aplikacii'!$B$3:$B$179,'TCO TO BE- SW'!X$2,'Rozpocet - Vyvoj aplikacii'!$J$3:$J$179),0),0)</f>
        <v>0</v>
      </c>
      <c r="Y44" s="577">
        <f>IFERROR(IF(VLOOKUP(Y$2,MODULY_CBA!$B$3:$I$23,8,0)=$D44,SUMIF('Rozpocet - Vyvoj aplikacii'!$B$3:$B$179,'TCO TO BE- SW'!Y$2,'Rozpocet - Vyvoj aplikacii'!$J$3:$J$179),0),0)</f>
        <v>0</v>
      </c>
      <c r="Z44" s="577">
        <f>IFERROR(IF(VLOOKUP(Z$2,MODULY_CBA!$B$3:$I$23,8,0)=$D44,SUMIF('Rozpocet - Vyvoj aplikacii'!$B$3:$B$179,'TCO TO BE- SW'!Z$2,'Rozpocet - Vyvoj aplikacii'!$J$3:$J$179),0),0)</f>
        <v>0</v>
      </c>
    </row>
    <row r="45" spans="1:26" outlineLevel="2">
      <c r="A45" s="824"/>
      <c r="B45" s="825"/>
      <c r="C45" s="825"/>
      <c r="D45" s="64">
        <v>9</v>
      </c>
      <c r="E45" s="68">
        <f t="shared" si="6"/>
        <v>0</v>
      </c>
      <c r="F45" s="577">
        <f>IFERROR(IF(VLOOKUP(F$2,MODULY_CBA!$B$3:$I$23,8,0)=$D45,SUMIF('Rozpocet - Vyvoj aplikacii'!$B$3:$B$179,'TCO TO BE- SW'!F$2,'Rozpocet - Vyvoj aplikacii'!$J$3:$J$179),0),0)</f>
        <v>0</v>
      </c>
      <c r="G45" s="577">
        <f>IFERROR(IF(VLOOKUP(G$2,MODULY_CBA!$B$3:$I$23,8,0)=$D45,SUMIF('Rozpocet - Vyvoj aplikacii'!$B$3:$B$179,'TCO TO BE- SW'!G$2,'Rozpocet - Vyvoj aplikacii'!$J$3:$J$179),0),0)</f>
        <v>0</v>
      </c>
      <c r="H45" s="577">
        <f>IFERROR(IF(VLOOKUP(H$2,MODULY_CBA!$B$3:$I$23,8,0)=$D45,SUMIF('Rozpocet - Vyvoj aplikacii'!$B$3:$B$179,'TCO TO BE- SW'!H$2,'Rozpocet - Vyvoj aplikacii'!$J$3:$J$179),0),0)</f>
        <v>0</v>
      </c>
      <c r="I45" s="577">
        <f>IFERROR(IF(VLOOKUP(I$2,MODULY_CBA!$B$3:$I$23,8,0)=$D45,SUMIF('Rozpocet - Vyvoj aplikacii'!$B$3:$B$179,'TCO TO BE- SW'!I$2,'Rozpocet - Vyvoj aplikacii'!$J$3:$J$179),0),0)</f>
        <v>0</v>
      </c>
      <c r="J45" s="577">
        <f>IFERROR(IF(VLOOKUP(J$2,MODULY_CBA!$B$3:$I$23,8,0)=$D45,SUMIF('Rozpocet - Vyvoj aplikacii'!$B$3:$B$179,'TCO TO BE- SW'!J$2,'Rozpocet - Vyvoj aplikacii'!$J$3:$J$179),0),0)</f>
        <v>0</v>
      </c>
      <c r="K45" s="577">
        <f>IFERROR(IF(VLOOKUP(K$2,MODULY_CBA!$B$3:$I$23,8,0)=$D45,SUMIF('Rozpocet - Vyvoj aplikacii'!$B$3:$B$179,'TCO TO BE- SW'!K$2,'Rozpocet - Vyvoj aplikacii'!$J$3:$J$179),0),0)</f>
        <v>0</v>
      </c>
      <c r="L45" s="577">
        <f>IFERROR(IF(VLOOKUP(L$2,MODULY_CBA!$B$3:$I$23,8,0)=$D45,SUMIF('Rozpocet - Vyvoj aplikacii'!$B$3:$B$179,'TCO TO BE- SW'!L$2,'Rozpocet - Vyvoj aplikacii'!$J$3:$J$179),0),0)</f>
        <v>0</v>
      </c>
      <c r="M45" s="577">
        <f>IFERROR(IF(VLOOKUP(M$2,MODULY_CBA!$B$3:$I$23,8,0)=$D45,SUMIF('Rozpocet - Vyvoj aplikacii'!$B$3:$B$179,'TCO TO BE- SW'!M$2,'Rozpocet - Vyvoj aplikacii'!$J$3:$J$179),0),0)</f>
        <v>0</v>
      </c>
      <c r="N45" s="577">
        <f>IFERROR(IF(VLOOKUP(N$2,MODULY_CBA!$B$3:$I$23,8,0)=$D45,SUMIF('Rozpocet - Vyvoj aplikacii'!$B$3:$B$179,'TCO TO BE- SW'!N$2,'Rozpocet - Vyvoj aplikacii'!$J$3:$J$179),0),0)</f>
        <v>0</v>
      </c>
      <c r="O45" s="577">
        <f>IFERROR(IF(VLOOKUP(O$2,MODULY_CBA!$B$3:$I$23,8,0)=$D45,SUMIF('Rozpocet - Vyvoj aplikacii'!$B$3:$B$179,'TCO TO BE- SW'!O$2,'Rozpocet - Vyvoj aplikacii'!$J$3:$J$179),0),0)</f>
        <v>0</v>
      </c>
      <c r="P45" s="577">
        <f>IFERROR(IF(VLOOKUP(P$2,MODULY_CBA!$B$3:$I$23,8,0)=$D45,SUMIF('Rozpocet - Vyvoj aplikacii'!$B$3:$B$179,'TCO TO BE- SW'!P$2,'Rozpocet - Vyvoj aplikacii'!$J$3:$J$179),0),0)</f>
        <v>0</v>
      </c>
      <c r="Q45" s="577">
        <f>IFERROR(IF(VLOOKUP(Q$2,MODULY_CBA!$B$3:$I$23,8,0)=$D45,SUMIF('Rozpocet - Vyvoj aplikacii'!$B$3:$B$179,'TCO TO BE- SW'!Q$2,'Rozpocet - Vyvoj aplikacii'!$J$3:$J$179),0),0)</f>
        <v>0</v>
      </c>
      <c r="R45" s="577">
        <f>IFERROR(IF(VLOOKUP(R$2,MODULY_CBA!$B$3:$I$23,8,0)=$D45,SUMIF('Rozpocet - Vyvoj aplikacii'!$B$3:$B$179,'TCO TO BE- SW'!R$2,'Rozpocet - Vyvoj aplikacii'!$J$3:$J$179),0),0)</f>
        <v>0</v>
      </c>
      <c r="S45" s="577">
        <f>IFERROR(IF(VLOOKUP(S$2,MODULY_CBA!$B$3:$I$23,8,0)=$D45,SUMIF('Rozpocet - Vyvoj aplikacii'!$B$3:$B$179,'TCO TO BE- SW'!S$2,'Rozpocet - Vyvoj aplikacii'!$J$3:$J$179),0),0)</f>
        <v>0</v>
      </c>
      <c r="T45" s="577">
        <f>IFERROR(IF(VLOOKUP(T$2,MODULY_CBA!$B$3:$I$23,8,0)=$D45,SUMIF('Rozpocet - Vyvoj aplikacii'!$B$3:$B$179,'TCO TO BE- SW'!T$2,'Rozpocet - Vyvoj aplikacii'!$J$3:$J$179),0),0)</f>
        <v>0</v>
      </c>
      <c r="U45" s="577">
        <f>IFERROR(IF(VLOOKUP(U$2,MODULY_CBA!$B$3:$I$23,8,0)=$D45,SUMIF('Rozpocet - Vyvoj aplikacii'!$B$3:$B$179,'TCO TO BE- SW'!U$2,'Rozpocet - Vyvoj aplikacii'!$J$3:$J$179),0),0)</f>
        <v>0</v>
      </c>
      <c r="V45" s="577">
        <f>IFERROR(IF(VLOOKUP(V$2,MODULY_CBA!$B$3:$I$23,8,0)=$D45,SUMIF('Rozpocet - Vyvoj aplikacii'!$B$3:$B$179,'TCO TO BE- SW'!V$2,'Rozpocet - Vyvoj aplikacii'!$J$3:$J$179),0),0)</f>
        <v>0</v>
      </c>
      <c r="W45" s="577">
        <f>IFERROR(IF(VLOOKUP(W$2,MODULY_CBA!$B$3:$I$23,8,0)=$D45,SUMIF('Rozpocet - Vyvoj aplikacii'!$B$3:$B$179,'TCO TO BE- SW'!W$2,'Rozpocet - Vyvoj aplikacii'!$J$3:$J$179),0),0)</f>
        <v>0</v>
      </c>
      <c r="X45" s="577">
        <f>IFERROR(IF(VLOOKUP(X$2,MODULY_CBA!$B$3:$I$23,8,0)=$D45,SUMIF('Rozpocet - Vyvoj aplikacii'!$B$3:$B$179,'TCO TO BE- SW'!X$2,'Rozpocet - Vyvoj aplikacii'!$J$3:$J$179),0),0)</f>
        <v>0</v>
      </c>
      <c r="Y45" s="577">
        <f>IFERROR(IF(VLOOKUP(Y$2,MODULY_CBA!$B$3:$I$23,8,0)=$D45,SUMIF('Rozpocet - Vyvoj aplikacii'!$B$3:$B$179,'TCO TO BE- SW'!Y$2,'Rozpocet - Vyvoj aplikacii'!$J$3:$J$179),0),0)</f>
        <v>0</v>
      </c>
      <c r="Z45" s="577">
        <f>IFERROR(IF(VLOOKUP(Z$2,MODULY_CBA!$B$3:$I$23,8,0)=$D45,SUMIF('Rozpocet - Vyvoj aplikacii'!$B$3:$B$179,'TCO TO BE- SW'!Z$2,'Rozpocet - Vyvoj aplikacii'!$J$3:$J$179),0),0)</f>
        <v>0</v>
      </c>
    </row>
    <row r="46" spans="1:26" ht="15.75" outlineLevel="2" thickBot="1">
      <c r="A46" s="824"/>
      <c r="B46" s="825"/>
      <c r="C46" s="825"/>
      <c r="D46" s="65">
        <v>10</v>
      </c>
      <c r="E46" s="69">
        <f t="shared" si="6"/>
        <v>0</v>
      </c>
      <c r="F46" s="578">
        <f>IFERROR(IF(VLOOKUP(F$2,MODULY_CBA!$B$3:$I$23,8,0)=$D46,SUMIF('Rozpocet - Vyvoj aplikacii'!$B$3:$B$179,'TCO TO BE- SW'!F$2,'Rozpocet - Vyvoj aplikacii'!$J$3:$J$179),0),0)</f>
        <v>0</v>
      </c>
      <c r="G46" s="578">
        <f>IFERROR(IF(VLOOKUP(G$2,MODULY_CBA!$B$3:$I$23,8,0)=$D46,SUMIF('Rozpocet - Vyvoj aplikacii'!$B$3:$B$179,'TCO TO BE- SW'!G$2,'Rozpocet - Vyvoj aplikacii'!$J$3:$J$179),0),0)</f>
        <v>0</v>
      </c>
      <c r="H46" s="578">
        <f>IFERROR(IF(VLOOKUP(H$2,MODULY_CBA!$B$3:$I$23,8,0)=$D46,SUMIF('Rozpocet - Vyvoj aplikacii'!$B$3:$B$179,'TCO TO BE- SW'!H$2,'Rozpocet - Vyvoj aplikacii'!$J$3:$J$179),0),0)</f>
        <v>0</v>
      </c>
      <c r="I46" s="578">
        <f>IFERROR(IF(VLOOKUP(I$2,MODULY_CBA!$B$3:$I$23,8,0)=$D46,SUMIF('Rozpocet - Vyvoj aplikacii'!$B$3:$B$179,'TCO TO BE- SW'!I$2,'Rozpocet - Vyvoj aplikacii'!$J$3:$J$179),0),0)</f>
        <v>0</v>
      </c>
      <c r="J46" s="578">
        <f>IFERROR(IF(VLOOKUP(J$2,MODULY_CBA!$B$3:$I$23,8,0)=$D46,SUMIF('Rozpocet - Vyvoj aplikacii'!$B$3:$B$179,'TCO TO BE- SW'!J$2,'Rozpocet - Vyvoj aplikacii'!$J$3:$J$179),0),0)</f>
        <v>0</v>
      </c>
      <c r="K46" s="578">
        <f>IFERROR(IF(VLOOKUP(K$2,MODULY_CBA!$B$3:$I$23,8,0)=$D46,SUMIF('Rozpocet - Vyvoj aplikacii'!$B$3:$B$179,'TCO TO BE- SW'!K$2,'Rozpocet - Vyvoj aplikacii'!$J$3:$J$179),0),0)</f>
        <v>0</v>
      </c>
      <c r="L46" s="578">
        <f>IFERROR(IF(VLOOKUP(L$2,MODULY_CBA!$B$3:$I$23,8,0)=$D46,SUMIF('Rozpocet - Vyvoj aplikacii'!$B$3:$B$179,'TCO TO BE- SW'!L$2,'Rozpocet - Vyvoj aplikacii'!$J$3:$J$179),0),0)</f>
        <v>0</v>
      </c>
      <c r="M46" s="578">
        <f>IFERROR(IF(VLOOKUP(M$2,MODULY_CBA!$B$3:$I$23,8,0)=$D46,SUMIF('Rozpocet - Vyvoj aplikacii'!$B$3:$B$179,'TCO TO BE- SW'!M$2,'Rozpocet - Vyvoj aplikacii'!$J$3:$J$179),0),0)</f>
        <v>0</v>
      </c>
      <c r="N46" s="578">
        <f>IFERROR(IF(VLOOKUP(N$2,MODULY_CBA!$B$3:$I$23,8,0)=$D46,SUMIF('Rozpocet - Vyvoj aplikacii'!$B$3:$B$179,'TCO TO BE- SW'!N$2,'Rozpocet - Vyvoj aplikacii'!$J$3:$J$179),0),0)</f>
        <v>0</v>
      </c>
      <c r="O46" s="578">
        <f>IFERROR(IF(VLOOKUP(O$2,MODULY_CBA!$B$3:$I$23,8,0)=$D46,SUMIF('Rozpocet - Vyvoj aplikacii'!$B$3:$B$179,'TCO TO BE- SW'!O$2,'Rozpocet - Vyvoj aplikacii'!$J$3:$J$179),0),0)</f>
        <v>0</v>
      </c>
      <c r="P46" s="578">
        <f>IFERROR(IF(VLOOKUP(P$2,MODULY_CBA!$B$3:$I$23,8,0)=$D46,SUMIF('Rozpocet - Vyvoj aplikacii'!$B$3:$B$179,'TCO TO BE- SW'!P$2,'Rozpocet - Vyvoj aplikacii'!$J$3:$J$179),0),0)</f>
        <v>0</v>
      </c>
      <c r="Q46" s="578">
        <f>IFERROR(IF(VLOOKUP(Q$2,MODULY_CBA!$B$3:$I$23,8,0)=$D46,SUMIF('Rozpocet - Vyvoj aplikacii'!$B$3:$B$179,'TCO TO BE- SW'!Q$2,'Rozpocet - Vyvoj aplikacii'!$J$3:$J$179),0),0)</f>
        <v>0</v>
      </c>
      <c r="R46" s="578">
        <f>IFERROR(IF(VLOOKUP(R$2,MODULY_CBA!$B$3:$I$23,8,0)=$D46,SUMIF('Rozpocet - Vyvoj aplikacii'!$B$3:$B$179,'TCO TO BE- SW'!R$2,'Rozpocet - Vyvoj aplikacii'!$J$3:$J$179),0),0)</f>
        <v>0</v>
      </c>
      <c r="S46" s="578">
        <f>IFERROR(IF(VLOOKUP(S$2,MODULY_CBA!$B$3:$I$23,8,0)=$D46,SUMIF('Rozpocet - Vyvoj aplikacii'!$B$3:$B$179,'TCO TO BE- SW'!S$2,'Rozpocet - Vyvoj aplikacii'!$J$3:$J$179),0),0)</f>
        <v>0</v>
      </c>
      <c r="T46" s="578">
        <f>IFERROR(IF(VLOOKUP(T$2,MODULY_CBA!$B$3:$I$23,8,0)=$D46,SUMIF('Rozpocet - Vyvoj aplikacii'!$B$3:$B$179,'TCO TO BE- SW'!T$2,'Rozpocet - Vyvoj aplikacii'!$J$3:$J$179),0),0)</f>
        <v>0</v>
      </c>
      <c r="U46" s="578">
        <f>IFERROR(IF(VLOOKUP(U$2,MODULY_CBA!$B$3:$I$23,8,0)=$D46,SUMIF('Rozpocet - Vyvoj aplikacii'!$B$3:$B$179,'TCO TO BE- SW'!U$2,'Rozpocet - Vyvoj aplikacii'!$J$3:$J$179),0),0)</f>
        <v>0</v>
      </c>
      <c r="V46" s="578">
        <f>IFERROR(IF(VLOOKUP(V$2,MODULY_CBA!$B$3:$I$23,8,0)=$D46,SUMIF('Rozpocet - Vyvoj aplikacii'!$B$3:$B$179,'TCO TO BE- SW'!V$2,'Rozpocet - Vyvoj aplikacii'!$J$3:$J$179),0),0)</f>
        <v>0</v>
      </c>
      <c r="W46" s="578">
        <f>IFERROR(IF(VLOOKUP(W$2,MODULY_CBA!$B$3:$I$23,8,0)=$D46,SUMIF('Rozpocet - Vyvoj aplikacii'!$B$3:$B$179,'TCO TO BE- SW'!W$2,'Rozpocet - Vyvoj aplikacii'!$J$3:$J$179),0),0)</f>
        <v>0</v>
      </c>
      <c r="X46" s="578">
        <f>IFERROR(IF(VLOOKUP(X$2,MODULY_CBA!$B$3:$I$23,8,0)=$D46,SUMIF('Rozpocet - Vyvoj aplikacii'!$B$3:$B$179,'TCO TO BE- SW'!X$2,'Rozpocet - Vyvoj aplikacii'!$J$3:$J$179),0),0)</f>
        <v>0</v>
      </c>
      <c r="Y46" s="578">
        <f>IFERROR(IF(VLOOKUP(Y$2,MODULY_CBA!$B$3:$I$23,8,0)=$D46,SUMIF('Rozpocet - Vyvoj aplikacii'!$B$3:$B$179,'TCO TO BE- SW'!Y$2,'Rozpocet - Vyvoj aplikacii'!$J$3:$J$179),0),0)</f>
        <v>0</v>
      </c>
      <c r="Z46" s="578">
        <f>IFERROR(IF(VLOOKUP(Z$2,MODULY_CBA!$B$3:$I$23,8,0)=$D46,SUMIF('Rozpocet - Vyvoj aplikacii'!$B$3:$B$179,'TCO TO BE- SW'!Z$2,'Rozpocet - Vyvoj aplikacii'!$J$3:$J$179),0),0)</f>
        <v>0</v>
      </c>
    </row>
    <row r="47" spans="1:26" outlineLevel="2">
      <c r="A47" s="824" t="s">
        <v>791</v>
      </c>
      <c r="B47" s="825" t="s">
        <v>76</v>
      </c>
      <c r="C47" s="825">
        <v>633013</v>
      </c>
      <c r="D47" s="63">
        <v>1</v>
      </c>
      <c r="E47" s="68">
        <f t="shared" si="6"/>
        <v>2351900</v>
      </c>
      <c r="F47" s="579">
        <v>544112</v>
      </c>
      <c r="G47" s="579">
        <v>28638</v>
      </c>
      <c r="H47" s="579">
        <v>1674750</v>
      </c>
      <c r="I47" s="579">
        <v>104400</v>
      </c>
      <c r="J47" s="579">
        <v>0</v>
      </c>
      <c r="K47" s="579">
        <v>0</v>
      </c>
      <c r="L47" s="579">
        <v>0</v>
      </c>
      <c r="M47" s="579">
        <v>0</v>
      </c>
      <c r="N47" s="579">
        <v>0</v>
      </c>
      <c r="O47" s="579">
        <v>0</v>
      </c>
      <c r="P47" s="579">
        <v>0</v>
      </c>
      <c r="Q47" s="579">
        <v>0</v>
      </c>
      <c r="R47" s="579">
        <v>0</v>
      </c>
      <c r="S47" s="579">
        <v>0</v>
      </c>
      <c r="T47" s="579">
        <v>0</v>
      </c>
      <c r="U47" s="579">
        <v>0</v>
      </c>
      <c r="V47" s="579">
        <v>0</v>
      </c>
      <c r="W47" s="579">
        <v>0</v>
      </c>
      <c r="X47" s="579">
        <v>0</v>
      </c>
      <c r="Y47" s="579">
        <v>0</v>
      </c>
      <c r="Z47" s="579">
        <v>0</v>
      </c>
    </row>
    <row r="48" spans="1:26" outlineLevel="2">
      <c r="A48" s="824"/>
      <c r="B48" s="825"/>
      <c r="C48" s="825"/>
      <c r="D48" s="64">
        <v>2</v>
      </c>
      <c r="E48" s="68">
        <f t="shared" si="6"/>
        <v>3554675</v>
      </c>
      <c r="F48" s="580">
        <v>1260412</v>
      </c>
      <c r="G48" s="580">
        <v>66338</v>
      </c>
      <c r="H48" s="580">
        <v>2096700</v>
      </c>
      <c r="I48" s="580">
        <v>131225</v>
      </c>
      <c r="J48" s="580">
        <v>0</v>
      </c>
      <c r="K48" s="580">
        <v>0</v>
      </c>
      <c r="L48" s="580">
        <v>0</v>
      </c>
      <c r="M48" s="580">
        <v>0</v>
      </c>
      <c r="N48" s="580">
        <v>0</v>
      </c>
      <c r="O48" s="580">
        <v>0</v>
      </c>
      <c r="P48" s="580">
        <v>0</v>
      </c>
      <c r="Q48" s="580">
        <v>0</v>
      </c>
      <c r="R48" s="580">
        <v>0</v>
      </c>
      <c r="S48" s="580">
        <v>0</v>
      </c>
      <c r="T48" s="580">
        <v>0</v>
      </c>
      <c r="U48" s="580">
        <v>0</v>
      </c>
      <c r="V48" s="580">
        <v>0</v>
      </c>
      <c r="W48" s="580">
        <v>0</v>
      </c>
      <c r="X48" s="580">
        <v>0</v>
      </c>
      <c r="Y48" s="580">
        <v>0</v>
      </c>
      <c r="Z48" s="580">
        <v>0</v>
      </c>
    </row>
    <row r="49" spans="1:26" outlineLevel="2">
      <c r="A49" s="824"/>
      <c r="B49" s="825"/>
      <c r="C49" s="825"/>
      <c r="D49" s="64">
        <v>3</v>
      </c>
      <c r="E49" s="68">
        <f t="shared" si="6"/>
        <v>1542800</v>
      </c>
      <c r="F49" s="580">
        <v>929812</v>
      </c>
      <c r="G49" s="580">
        <v>48938</v>
      </c>
      <c r="H49" s="580">
        <v>391500</v>
      </c>
      <c r="I49" s="580">
        <v>172550</v>
      </c>
      <c r="J49" s="580">
        <v>0</v>
      </c>
      <c r="K49" s="580">
        <v>0</v>
      </c>
      <c r="L49" s="580">
        <v>0</v>
      </c>
      <c r="M49" s="580">
        <v>0</v>
      </c>
      <c r="N49" s="580">
        <v>0</v>
      </c>
      <c r="O49" s="580">
        <v>0</v>
      </c>
      <c r="P49" s="580">
        <v>0</v>
      </c>
      <c r="Q49" s="580">
        <v>0</v>
      </c>
      <c r="R49" s="580">
        <v>0</v>
      </c>
      <c r="S49" s="580">
        <v>0</v>
      </c>
      <c r="T49" s="580">
        <v>0</v>
      </c>
      <c r="U49" s="580">
        <v>0</v>
      </c>
      <c r="V49" s="580">
        <v>0</v>
      </c>
      <c r="W49" s="580">
        <v>0</v>
      </c>
      <c r="X49" s="580">
        <v>0</v>
      </c>
      <c r="Y49" s="580">
        <v>0</v>
      </c>
      <c r="Z49" s="580">
        <v>0</v>
      </c>
    </row>
    <row r="50" spans="1:26" outlineLevel="2">
      <c r="A50" s="824"/>
      <c r="B50" s="825"/>
      <c r="C50" s="825"/>
      <c r="D50" s="64">
        <v>4</v>
      </c>
      <c r="E50" s="68">
        <f t="shared" si="6"/>
        <v>0</v>
      </c>
      <c r="F50" s="580">
        <v>0</v>
      </c>
      <c r="G50" s="580">
        <v>0</v>
      </c>
      <c r="H50" s="580">
        <v>0</v>
      </c>
      <c r="I50" s="580">
        <v>0</v>
      </c>
      <c r="J50" s="580">
        <v>0</v>
      </c>
      <c r="K50" s="580">
        <v>0</v>
      </c>
      <c r="L50" s="580">
        <v>0</v>
      </c>
      <c r="M50" s="580">
        <v>0</v>
      </c>
      <c r="N50" s="580">
        <v>0</v>
      </c>
      <c r="O50" s="580">
        <v>0</v>
      </c>
      <c r="P50" s="580">
        <v>0</v>
      </c>
      <c r="Q50" s="580">
        <v>0</v>
      </c>
      <c r="R50" s="580">
        <v>0</v>
      </c>
      <c r="S50" s="580">
        <v>0</v>
      </c>
      <c r="T50" s="580">
        <v>0</v>
      </c>
      <c r="U50" s="580">
        <v>0</v>
      </c>
      <c r="V50" s="580">
        <v>0</v>
      </c>
      <c r="W50" s="580">
        <v>0</v>
      </c>
      <c r="X50" s="580">
        <v>0</v>
      </c>
      <c r="Y50" s="580">
        <v>0</v>
      </c>
      <c r="Z50" s="580">
        <v>0</v>
      </c>
    </row>
    <row r="51" spans="1:26" outlineLevel="2">
      <c r="A51" s="824"/>
      <c r="B51" s="825"/>
      <c r="C51" s="825"/>
      <c r="D51" s="64">
        <v>5</v>
      </c>
      <c r="E51" s="68">
        <f t="shared" si="6"/>
        <v>0</v>
      </c>
      <c r="F51" s="580">
        <v>0</v>
      </c>
      <c r="G51" s="580">
        <v>0</v>
      </c>
      <c r="H51" s="580">
        <v>0</v>
      </c>
      <c r="I51" s="580">
        <v>0</v>
      </c>
      <c r="J51" s="580">
        <v>0</v>
      </c>
      <c r="K51" s="580">
        <v>0</v>
      </c>
      <c r="L51" s="580">
        <v>0</v>
      </c>
      <c r="M51" s="580">
        <v>0</v>
      </c>
      <c r="N51" s="580">
        <v>0</v>
      </c>
      <c r="O51" s="580">
        <v>0</v>
      </c>
      <c r="P51" s="580">
        <v>0</v>
      </c>
      <c r="Q51" s="580">
        <v>0</v>
      </c>
      <c r="R51" s="580">
        <v>0</v>
      </c>
      <c r="S51" s="580">
        <v>0</v>
      </c>
      <c r="T51" s="580">
        <v>0</v>
      </c>
      <c r="U51" s="580">
        <v>0</v>
      </c>
      <c r="V51" s="580">
        <v>0</v>
      </c>
      <c r="W51" s="580">
        <v>0</v>
      </c>
      <c r="X51" s="580">
        <v>0</v>
      </c>
      <c r="Y51" s="580">
        <v>0</v>
      </c>
      <c r="Z51" s="580">
        <v>0</v>
      </c>
    </row>
    <row r="52" spans="1:26" outlineLevel="2">
      <c r="A52" s="824"/>
      <c r="B52" s="825"/>
      <c r="C52" s="825"/>
      <c r="D52" s="64">
        <v>6</v>
      </c>
      <c r="E52" s="68">
        <f t="shared" si="6"/>
        <v>0</v>
      </c>
      <c r="F52" s="580">
        <v>0</v>
      </c>
      <c r="G52" s="580">
        <v>0</v>
      </c>
      <c r="H52" s="580">
        <v>0</v>
      </c>
      <c r="I52" s="580">
        <v>0</v>
      </c>
      <c r="J52" s="580">
        <v>0</v>
      </c>
      <c r="K52" s="580">
        <v>0</v>
      </c>
      <c r="L52" s="580">
        <v>0</v>
      </c>
      <c r="M52" s="580">
        <v>0</v>
      </c>
      <c r="N52" s="580">
        <v>0</v>
      </c>
      <c r="O52" s="580">
        <v>0</v>
      </c>
      <c r="P52" s="580">
        <v>0</v>
      </c>
      <c r="Q52" s="580">
        <v>0</v>
      </c>
      <c r="R52" s="580">
        <v>0</v>
      </c>
      <c r="S52" s="580">
        <v>0</v>
      </c>
      <c r="T52" s="580">
        <v>0</v>
      </c>
      <c r="U52" s="580">
        <v>0</v>
      </c>
      <c r="V52" s="580">
        <v>0</v>
      </c>
      <c r="W52" s="580">
        <v>0</v>
      </c>
      <c r="X52" s="580">
        <v>0</v>
      </c>
      <c r="Y52" s="580">
        <v>0</v>
      </c>
      <c r="Z52" s="580">
        <v>0</v>
      </c>
    </row>
    <row r="53" spans="1:26" outlineLevel="2">
      <c r="A53" s="824"/>
      <c r="B53" s="825"/>
      <c r="C53" s="825"/>
      <c r="D53" s="64">
        <v>7</v>
      </c>
      <c r="E53" s="68">
        <f t="shared" si="6"/>
        <v>0</v>
      </c>
      <c r="F53" s="580">
        <v>0</v>
      </c>
      <c r="G53" s="580">
        <v>0</v>
      </c>
      <c r="H53" s="580">
        <v>0</v>
      </c>
      <c r="I53" s="580">
        <v>0</v>
      </c>
      <c r="J53" s="580">
        <v>0</v>
      </c>
      <c r="K53" s="580">
        <v>0</v>
      </c>
      <c r="L53" s="580">
        <v>0</v>
      </c>
      <c r="M53" s="580">
        <v>0</v>
      </c>
      <c r="N53" s="580">
        <v>0</v>
      </c>
      <c r="O53" s="580">
        <v>0</v>
      </c>
      <c r="P53" s="580">
        <v>0</v>
      </c>
      <c r="Q53" s="580">
        <v>0</v>
      </c>
      <c r="R53" s="580">
        <v>0</v>
      </c>
      <c r="S53" s="580">
        <v>0</v>
      </c>
      <c r="T53" s="580">
        <v>0</v>
      </c>
      <c r="U53" s="580">
        <v>0</v>
      </c>
      <c r="V53" s="580">
        <v>0</v>
      </c>
      <c r="W53" s="580">
        <v>0</v>
      </c>
      <c r="X53" s="580">
        <v>0</v>
      </c>
      <c r="Y53" s="580">
        <v>0</v>
      </c>
      <c r="Z53" s="580">
        <v>0</v>
      </c>
    </row>
    <row r="54" spans="1:26" outlineLevel="2">
      <c r="A54" s="824"/>
      <c r="B54" s="825"/>
      <c r="C54" s="825"/>
      <c r="D54" s="64">
        <v>8</v>
      </c>
      <c r="E54" s="68">
        <f t="shared" si="6"/>
        <v>0</v>
      </c>
      <c r="F54" s="580">
        <v>0</v>
      </c>
      <c r="G54" s="580">
        <v>0</v>
      </c>
      <c r="H54" s="580">
        <v>0</v>
      </c>
      <c r="I54" s="580">
        <v>0</v>
      </c>
      <c r="J54" s="580">
        <v>0</v>
      </c>
      <c r="K54" s="580">
        <v>0</v>
      </c>
      <c r="L54" s="580">
        <v>0</v>
      </c>
      <c r="M54" s="580">
        <v>0</v>
      </c>
      <c r="N54" s="580">
        <v>0</v>
      </c>
      <c r="O54" s="580">
        <v>0</v>
      </c>
      <c r="P54" s="580">
        <v>0</v>
      </c>
      <c r="Q54" s="580">
        <v>0</v>
      </c>
      <c r="R54" s="580">
        <v>0</v>
      </c>
      <c r="S54" s="580">
        <v>0</v>
      </c>
      <c r="T54" s="580">
        <v>0</v>
      </c>
      <c r="U54" s="580">
        <v>0</v>
      </c>
      <c r="V54" s="580">
        <v>0</v>
      </c>
      <c r="W54" s="580">
        <v>0</v>
      </c>
      <c r="X54" s="580">
        <v>0</v>
      </c>
      <c r="Y54" s="580">
        <v>0</v>
      </c>
      <c r="Z54" s="580">
        <v>0</v>
      </c>
    </row>
    <row r="55" spans="1:26" outlineLevel="2">
      <c r="A55" s="824"/>
      <c r="B55" s="825"/>
      <c r="C55" s="825"/>
      <c r="D55" s="64">
        <v>9</v>
      </c>
      <c r="E55" s="68">
        <f t="shared" si="6"/>
        <v>0</v>
      </c>
      <c r="F55" s="580">
        <v>0</v>
      </c>
      <c r="G55" s="580">
        <v>0</v>
      </c>
      <c r="H55" s="580">
        <v>0</v>
      </c>
      <c r="I55" s="580">
        <v>0</v>
      </c>
      <c r="J55" s="580">
        <v>0</v>
      </c>
      <c r="K55" s="580">
        <v>0</v>
      </c>
      <c r="L55" s="580">
        <v>0</v>
      </c>
      <c r="M55" s="580">
        <v>0</v>
      </c>
      <c r="N55" s="580">
        <v>0</v>
      </c>
      <c r="O55" s="580">
        <v>0</v>
      </c>
      <c r="P55" s="580">
        <v>0</v>
      </c>
      <c r="Q55" s="580">
        <v>0</v>
      </c>
      <c r="R55" s="580">
        <v>0</v>
      </c>
      <c r="S55" s="580">
        <v>0</v>
      </c>
      <c r="T55" s="580">
        <v>0</v>
      </c>
      <c r="U55" s="580">
        <v>0</v>
      </c>
      <c r="V55" s="580">
        <v>0</v>
      </c>
      <c r="W55" s="580">
        <v>0</v>
      </c>
      <c r="X55" s="580">
        <v>0</v>
      </c>
      <c r="Y55" s="580">
        <v>0</v>
      </c>
      <c r="Z55" s="580">
        <v>0</v>
      </c>
    </row>
    <row r="56" spans="1:26" ht="15.75" outlineLevel="2" thickBot="1">
      <c r="A56" s="824"/>
      <c r="B56" s="825"/>
      <c r="C56" s="825"/>
      <c r="D56" s="65">
        <v>10</v>
      </c>
      <c r="E56" s="69">
        <f t="shared" si="6"/>
        <v>0</v>
      </c>
      <c r="F56" s="584">
        <v>0</v>
      </c>
      <c r="G56" s="584">
        <v>0</v>
      </c>
      <c r="H56" s="584">
        <v>0</v>
      </c>
      <c r="I56" s="584">
        <v>0</v>
      </c>
      <c r="J56" s="584">
        <v>0</v>
      </c>
      <c r="K56" s="584">
        <v>0</v>
      </c>
      <c r="L56" s="584">
        <v>0</v>
      </c>
      <c r="M56" s="584">
        <v>0</v>
      </c>
      <c r="N56" s="584">
        <v>0</v>
      </c>
      <c r="O56" s="584">
        <v>0</v>
      </c>
      <c r="P56" s="584">
        <v>0</v>
      </c>
      <c r="Q56" s="584">
        <v>0</v>
      </c>
      <c r="R56" s="584">
        <v>0</v>
      </c>
      <c r="S56" s="584">
        <v>0</v>
      </c>
      <c r="T56" s="584">
        <v>0</v>
      </c>
      <c r="U56" s="584">
        <v>0</v>
      </c>
      <c r="V56" s="584">
        <v>0</v>
      </c>
      <c r="W56" s="584">
        <v>0</v>
      </c>
      <c r="X56" s="584">
        <v>0</v>
      </c>
      <c r="Y56" s="584">
        <v>0</v>
      </c>
      <c r="Z56" s="584">
        <v>0</v>
      </c>
    </row>
    <row r="57" spans="1:26" outlineLevel="2">
      <c r="A57" s="824" t="s">
        <v>304</v>
      </c>
      <c r="B57" s="825" t="s">
        <v>529</v>
      </c>
      <c r="C57" s="825">
        <v>610</v>
      </c>
      <c r="D57" s="63">
        <v>1</v>
      </c>
      <c r="E57" s="68">
        <f t="shared" ref="E57:E66" si="7">SUM(F57:Z57)</f>
        <v>0</v>
      </c>
      <c r="F57" s="576">
        <f>IFERROR(IF(VLOOKUP(F$2,MODULY_CBA!$B$3:$L$23,8,0)=$D57,SUMIF('Rozpocet - Vyvoj aplikacii'!$B$3:$B$179,'TCO TO BE- SW'!F$2,'Rozpocet - Vyvoj aplikacii'!$I$3:$I$179),0),0)</f>
        <v>0</v>
      </c>
      <c r="G57" s="576">
        <f>IFERROR(IF(VLOOKUP(G$2,MODULY_CBA!$B$3:$L$23,8,0)=$D57,SUMIF('Rozpocet - Vyvoj aplikacii'!$B$3:$B$179,'TCO TO BE- SW'!G$2,'Rozpocet - Vyvoj aplikacii'!$I$3:$I$179),0),0)</f>
        <v>0</v>
      </c>
      <c r="H57" s="576">
        <f>IFERROR(IF(VLOOKUP(H$2,MODULY_CBA!$B$3:$L$23,8,0)=$D57,SUMIF('Rozpocet - Vyvoj aplikacii'!$B$3:$B$179,'TCO TO BE- SW'!H$2,'Rozpocet - Vyvoj aplikacii'!$I$3:$I$179),0),0)</f>
        <v>0</v>
      </c>
      <c r="I57" s="576">
        <f>IFERROR(IF(VLOOKUP(I$2,MODULY_CBA!$B$3:$L$23,8,0)=$D57,SUMIF('Rozpocet - Vyvoj aplikacii'!$B$3:$B$179,'TCO TO BE- SW'!I$2,'Rozpocet - Vyvoj aplikacii'!$I$3:$I$179),0),0)</f>
        <v>0</v>
      </c>
      <c r="J57" s="576">
        <f>IFERROR(IF(VLOOKUP(J$2,MODULY_CBA!$B$3:$L$23,8,0)=$D57,SUMIF('Rozpocet - Vyvoj aplikacii'!$B$3:$B$179,'TCO TO BE- SW'!J$2,'Rozpocet - Vyvoj aplikacii'!$I$3:$I$179),0),0)</f>
        <v>0</v>
      </c>
      <c r="K57" s="576">
        <f>IFERROR(IF(VLOOKUP(K$2,MODULY_CBA!$B$3:$L$23,8,0)=$D57,SUMIF('Rozpocet - Vyvoj aplikacii'!$B$3:$B$179,'TCO TO BE- SW'!K$2,'Rozpocet - Vyvoj aplikacii'!$I$3:$I$179),0),0)</f>
        <v>0</v>
      </c>
      <c r="L57" s="576">
        <f>IFERROR(IF(VLOOKUP(L$2,MODULY_CBA!$B$3:$L$23,8,0)=$D57,SUMIF('Rozpocet - Vyvoj aplikacii'!$B$3:$B$179,'TCO TO BE- SW'!L$2,'Rozpocet - Vyvoj aplikacii'!$I$3:$I$179),0),0)</f>
        <v>0</v>
      </c>
      <c r="M57" s="576">
        <f>IFERROR(IF(VLOOKUP(M$2,MODULY_CBA!$B$3:$L$23,8,0)=$D57,SUMIF('Rozpocet - Vyvoj aplikacii'!$B$3:$B$179,'TCO TO BE- SW'!M$2,'Rozpocet - Vyvoj aplikacii'!$I$3:$I$179),0),0)</f>
        <v>0</v>
      </c>
      <c r="N57" s="576">
        <f>IFERROR(IF(VLOOKUP(N$2,MODULY_CBA!$B$3:$L$23,8,0)=$D57,SUMIF('Rozpocet - Vyvoj aplikacii'!$B$3:$B$179,'TCO TO BE- SW'!N$2,'Rozpocet - Vyvoj aplikacii'!$I$3:$I$179),0),0)</f>
        <v>0</v>
      </c>
      <c r="O57" s="576">
        <f>IFERROR(IF(VLOOKUP(O$2,MODULY_CBA!$B$3:$L$23,8,0)=$D57,SUMIF('Rozpocet - Vyvoj aplikacii'!$B$3:$B$179,'TCO TO BE- SW'!O$2,'Rozpocet - Vyvoj aplikacii'!$I$3:$I$179),0),0)</f>
        <v>0</v>
      </c>
      <c r="P57" s="576">
        <f>IFERROR(IF(VLOOKUP(P$2,MODULY_CBA!$B$3:$L$23,8,0)=$D57,SUMIF('Rozpocet - Vyvoj aplikacii'!$B$3:$B$179,'TCO TO BE- SW'!P$2,'Rozpocet - Vyvoj aplikacii'!$I$3:$I$179),0),0)</f>
        <v>0</v>
      </c>
      <c r="Q57" s="576">
        <f>IFERROR(IF(VLOOKUP(Q$2,MODULY_CBA!$B$3:$L$23,8,0)=$D57,SUMIF('Rozpocet - Vyvoj aplikacii'!$B$3:$B$179,'TCO TO BE- SW'!Q$2,'Rozpocet - Vyvoj aplikacii'!$I$3:$I$179),0),0)</f>
        <v>0</v>
      </c>
      <c r="R57" s="576">
        <f>IFERROR(IF(VLOOKUP(R$2,MODULY_CBA!$B$3:$L$23,8,0)=$D57,SUMIF('Rozpocet - Vyvoj aplikacii'!$B$3:$B$179,'TCO TO BE- SW'!R$2,'Rozpocet - Vyvoj aplikacii'!$I$3:$I$179),0),0)</f>
        <v>0</v>
      </c>
      <c r="S57" s="576">
        <f>IFERROR(IF(VLOOKUP(S$2,MODULY_CBA!$B$3:$L$23,8,0)=$D57,SUMIF('Rozpocet - Vyvoj aplikacii'!$B$3:$B$179,'TCO TO BE- SW'!S$2,'Rozpocet - Vyvoj aplikacii'!$I$3:$I$179),0),0)</f>
        <v>0</v>
      </c>
      <c r="T57" s="576">
        <f>IFERROR(IF(VLOOKUP(T$2,MODULY_CBA!$B$3:$L$23,8,0)=$D57,SUMIF('Rozpocet - Vyvoj aplikacii'!$B$3:$B$179,'TCO TO BE- SW'!T$2,'Rozpocet - Vyvoj aplikacii'!$I$3:$I$179),0),0)</f>
        <v>0</v>
      </c>
      <c r="U57" s="576">
        <f>IFERROR(IF(VLOOKUP(U$2,MODULY_CBA!$B$3:$L$23,8,0)=$D57,SUMIF('Rozpocet - Vyvoj aplikacii'!$B$3:$B$179,'TCO TO BE- SW'!U$2,'Rozpocet - Vyvoj aplikacii'!$I$3:$I$179),0),0)</f>
        <v>0</v>
      </c>
      <c r="V57" s="576">
        <f>IFERROR(IF(VLOOKUP(V$2,MODULY_CBA!$B$3:$L$23,8,0)=$D57,SUMIF('Rozpocet - Vyvoj aplikacii'!$B$3:$B$179,'TCO TO BE- SW'!V$2,'Rozpocet - Vyvoj aplikacii'!$I$3:$I$179),0),0)</f>
        <v>0</v>
      </c>
      <c r="W57" s="576">
        <f>IFERROR(IF(VLOOKUP(W$2,MODULY_CBA!$B$3:$L$23,8,0)=$D57,SUMIF('Rozpocet - Vyvoj aplikacii'!$B$3:$B$179,'TCO TO BE- SW'!W$2,'Rozpocet - Vyvoj aplikacii'!$I$3:$I$179),0),0)</f>
        <v>0</v>
      </c>
      <c r="X57" s="576">
        <f>IFERROR(IF(VLOOKUP(X$2,MODULY_CBA!$B$3:$L$23,8,0)=$D57,SUMIF('Rozpocet - Vyvoj aplikacii'!$B$3:$B$179,'TCO TO BE- SW'!X$2,'Rozpocet - Vyvoj aplikacii'!$I$3:$I$179),0),0)</f>
        <v>0</v>
      </c>
      <c r="Y57" s="576">
        <f>IFERROR(IF(VLOOKUP(Y$2,MODULY_CBA!$B$3:$L$23,8,0)=$D57,SUMIF('Rozpocet - Vyvoj aplikacii'!$B$3:$B$179,'TCO TO BE- SW'!Y$2,'Rozpocet - Vyvoj aplikacii'!$I$3:$I$179),0),0)</f>
        <v>0</v>
      </c>
      <c r="Z57" s="576">
        <f>IFERROR(IF(VLOOKUP(Z$2,MODULY_CBA!$B$3:$L$23,8,0)=$D57,SUMIF('Rozpocet - Vyvoj aplikacii'!$B$3:$B$179,'TCO TO BE- SW'!Z$2,'Rozpocet - Vyvoj aplikacii'!$I$3:$I$179),0),0)</f>
        <v>0</v>
      </c>
    </row>
    <row r="58" spans="1:26" outlineLevel="2">
      <c r="A58" s="824"/>
      <c r="B58" s="825"/>
      <c r="C58" s="825"/>
      <c r="D58" s="64">
        <v>2</v>
      </c>
      <c r="E58" s="68">
        <f t="shared" si="7"/>
        <v>0</v>
      </c>
      <c r="F58" s="577">
        <f>IFERROR(IF(VLOOKUP(F$2,MODULY_CBA!$B$3:$L$23,8,0)=$D58,SUMIF('Rozpocet - Vyvoj aplikacii'!$B$3:$B$179,'TCO TO BE- SW'!F$2,'Rozpocet - Vyvoj aplikacii'!$I$3:$I$179),0),0)</f>
        <v>0</v>
      </c>
      <c r="G58" s="577">
        <f>IFERROR(IF(VLOOKUP(G$2,MODULY_CBA!$B$3:$L$23,8,0)=$D58,SUMIF('Rozpocet - Vyvoj aplikacii'!$B$3:$B$179,'TCO TO BE- SW'!G$2,'Rozpocet - Vyvoj aplikacii'!$I$3:$I$179),0),0)</f>
        <v>0</v>
      </c>
      <c r="H58" s="577">
        <f>IFERROR(IF(VLOOKUP(H$2,MODULY_CBA!$B$3:$L$23,8,0)=$D58,SUMIF('Rozpocet - Vyvoj aplikacii'!$B$3:$B$179,'TCO TO BE- SW'!H$2,'Rozpocet - Vyvoj aplikacii'!$I$3:$I$179),0),0)</f>
        <v>0</v>
      </c>
      <c r="I58" s="577">
        <f>IFERROR(IF(VLOOKUP(I$2,MODULY_CBA!$B$3:$L$23,8,0)=$D58,SUMIF('Rozpocet - Vyvoj aplikacii'!$B$3:$B$179,'TCO TO BE- SW'!I$2,'Rozpocet - Vyvoj aplikacii'!$I$3:$I$179),0),0)</f>
        <v>0</v>
      </c>
      <c r="J58" s="577">
        <f>IFERROR(IF(VLOOKUP(J$2,MODULY_CBA!$B$3:$L$23,8,0)=$D58,SUMIF('Rozpocet - Vyvoj aplikacii'!$B$3:$B$179,'TCO TO BE- SW'!J$2,'Rozpocet - Vyvoj aplikacii'!$I$3:$I$179),0),0)</f>
        <v>0</v>
      </c>
      <c r="K58" s="577">
        <f>IFERROR(IF(VLOOKUP(K$2,MODULY_CBA!$B$3:$L$23,8,0)=$D58,SUMIF('Rozpocet - Vyvoj aplikacii'!$B$3:$B$179,'TCO TO BE- SW'!K$2,'Rozpocet - Vyvoj aplikacii'!$I$3:$I$179),0),0)</f>
        <v>0</v>
      </c>
      <c r="L58" s="577">
        <f>IFERROR(IF(VLOOKUP(L$2,MODULY_CBA!$B$3:$L$23,8,0)=$D58,SUMIF('Rozpocet - Vyvoj aplikacii'!$B$3:$B$179,'TCO TO BE- SW'!L$2,'Rozpocet - Vyvoj aplikacii'!$I$3:$I$179),0),0)</f>
        <v>0</v>
      </c>
      <c r="M58" s="577">
        <f>IFERROR(IF(VLOOKUP(M$2,MODULY_CBA!$B$3:$L$23,8,0)=$D58,SUMIF('Rozpocet - Vyvoj aplikacii'!$B$3:$B$179,'TCO TO BE- SW'!M$2,'Rozpocet - Vyvoj aplikacii'!$I$3:$I$179),0),0)</f>
        <v>0</v>
      </c>
      <c r="N58" s="577">
        <f>IFERROR(IF(VLOOKUP(N$2,MODULY_CBA!$B$3:$L$23,8,0)=$D58,SUMIF('Rozpocet - Vyvoj aplikacii'!$B$3:$B$179,'TCO TO BE- SW'!N$2,'Rozpocet - Vyvoj aplikacii'!$I$3:$I$179),0),0)</f>
        <v>0</v>
      </c>
      <c r="O58" s="577">
        <f>IFERROR(IF(VLOOKUP(O$2,MODULY_CBA!$B$3:$L$23,8,0)=$D58,SUMIF('Rozpocet - Vyvoj aplikacii'!$B$3:$B$179,'TCO TO BE- SW'!O$2,'Rozpocet - Vyvoj aplikacii'!$I$3:$I$179),0),0)</f>
        <v>0</v>
      </c>
      <c r="P58" s="577">
        <f>IFERROR(IF(VLOOKUP(P$2,MODULY_CBA!$B$3:$L$23,8,0)=$D58,SUMIF('Rozpocet - Vyvoj aplikacii'!$B$3:$B$179,'TCO TO BE- SW'!P$2,'Rozpocet - Vyvoj aplikacii'!$I$3:$I$179),0),0)</f>
        <v>0</v>
      </c>
      <c r="Q58" s="577">
        <f>IFERROR(IF(VLOOKUP(Q$2,MODULY_CBA!$B$3:$L$23,8,0)=$D58,SUMIF('Rozpocet - Vyvoj aplikacii'!$B$3:$B$179,'TCO TO BE- SW'!Q$2,'Rozpocet - Vyvoj aplikacii'!$I$3:$I$179),0),0)</f>
        <v>0</v>
      </c>
      <c r="R58" s="577">
        <f>IFERROR(IF(VLOOKUP(R$2,MODULY_CBA!$B$3:$L$23,8,0)=$D58,SUMIF('Rozpocet - Vyvoj aplikacii'!$B$3:$B$179,'TCO TO BE- SW'!R$2,'Rozpocet - Vyvoj aplikacii'!$I$3:$I$179),0),0)</f>
        <v>0</v>
      </c>
      <c r="S58" s="577">
        <f>IFERROR(IF(VLOOKUP(S$2,MODULY_CBA!$B$3:$L$23,8,0)=$D58,SUMIF('Rozpocet - Vyvoj aplikacii'!$B$3:$B$179,'TCO TO BE- SW'!S$2,'Rozpocet - Vyvoj aplikacii'!$I$3:$I$179),0),0)</f>
        <v>0</v>
      </c>
      <c r="T58" s="577">
        <f>IFERROR(IF(VLOOKUP(T$2,MODULY_CBA!$B$3:$L$23,8,0)=$D58,SUMIF('Rozpocet - Vyvoj aplikacii'!$B$3:$B$179,'TCO TO BE- SW'!T$2,'Rozpocet - Vyvoj aplikacii'!$I$3:$I$179),0),0)</f>
        <v>0</v>
      </c>
      <c r="U58" s="577">
        <f>IFERROR(IF(VLOOKUP(U$2,MODULY_CBA!$B$3:$L$23,8,0)=$D58,SUMIF('Rozpocet - Vyvoj aplikacii'!$B$3:$B$179,'TCO TO BE- SW'!U$2,'Rozpocet - Vyvoj aplikacii'!$I$3:$I$179),0),0)</f>
        <v>0</v>
      </c>
      <c r="V58" s="577">
        <f>IFERROR(IF(VLOOKUP(V$2,MODULY_CBA!$B$3:$L$23,8,0)=$D58,SUMIF('Rozpocet - Vyvoj aplikacii'!$B$3:$B$179,'TCO TO BE- SW'!V$2,'Rozpocet - Vyvoj aplikacii'!$I$3:$I$179),0),0)</f>
        <v>0</v>
      </c>
      <c r="W58" s="577">
        <f>IFERROR(IF(VLOOKUP(W$2,MODULY_CBA!$B$3:$L$23,8,0)=$D58,SUMIF('Rozpocet - Vyvoj aplikacii'!$B$3:$B$179,'TCO TO BE- SW'!W$2,'Rozpocet - Vyvoj aplikacii'!$I$3:$I$179),0),0)</f>
        <v>0</v>
      </c>
      <c r="X58" s="577">
        <f>IFERROR(IF(VLOOKUP(X$2,MODULY_CBA!$B$3:$L$23,8,0)=$D58,SUMIF('Rozpocet - Vyvoj aplikacii'!$B$3:$B$179,'TCO TO BE- SW'!X$2,'Rozpocet - Vyvoj aplikacii'!$I$3:$I$179),0),0)</f>
        <v>0</v>
      </c>
      <c r="Y58" s="577">
        <f>IFERROR(IF(VLOOKUP(Y$2,MODULY_CBA!$B$3:$L$23,8,0)=$D58,SUMIF('Rozpocet - Vyvoj aplikacii'!$B$3:$B$179,'TCO TO BE- SW'!Y$2,'Rozpocet - Vyvoj aplikacii'!$I$3:$I$179),0),0)</f>
        <v>0</v>
      </c>
      <c r="Z58" s="577">
        <f>IFERROR(IF(VLOOKUP(Z$2,MODULY_CBA!$B$3:$L$23,8,0)=$D58,SUMIF('Rozpocet - Vyvoj aplikacii'!$B$3:$B$179,'TCO TO BE- SW'!Z$2,'Rozpocet - Vyvoj aplikacii'!$I$3:$I$179),0),0)</f>
        <v>0</v>
      </c>
    </row>
    <row r="59" spans="1:26" outlineLevel="2">
      <c r="A59" s="824"/>
      <c r="B59" s="825"/>
      <c r="C59" s="825"/>
      <c r="D59" s="64">
        <v>3</v>
      </c>
      <c r="E59" s="68">
        <f t="shared" si="7"/>
        <v>461074.50350000005</v>
      </c>
      <c r="F59" s="577">
        <f>IFERROR(IF(VLOOKUP(F$2,MODULY_CBA!$B$3:$L$23,8,0)=$D59,SUMIF('Rozpocet - Vyvoj aplikacii'!$B$3:$B$179,'TCO TO BE- SW'!F$2,'Rozpocet - Vyvoj aplikacii'!$I$3:$I$179),0),0)</f>
        <v>384997.21042250004</v>
      </c>
      <c r="G59" s="577">
        <f>IFERROR(IF(VLOOKUP(G$2,MODULY_CBA!$B$3:$L$23,8,0)=$D59,SUMIF('Rozpocet - Vyvoj aplikacii'!$B$3:$B$179,'TCO TO BE- SW'!G$2,'Rozpocet - Vyvoj aplikacii'!$I$3:$I$179),0),0)</f>
        <v>31122.528986250007</v>
      </c>
      <c r="H59" s="577">
        <f>IFERROR(IF(VLOOKUP(H$2,MODULY_CBA!$B$3:$L$23,8,0)=$D59,SUMIF('Rozpocet - Vyvoj aplikacii'!$B$3:$B$179,'TCO TO BE- SW'!H$2,'Rozpocet - Vyvoj aplikacii'!$I$3:$I$179),0),0)</f>
        <v>31122.528986250007</v>
      </c>
      <c r="I59" s="577">
        <f>IFERROR(IF(VLOOKUP(I$2,MODULY_CBA!$B$3:$L$23,8,0)=$D59,SUMIF('Rozpocet - Vyvoj aplikacii'!$B$3:$B$179,'TCO TO BE- SW'!I$2,'Rozpocet - Vyvoj aplikacii'!$I$3:$I$179),0),0)</f>
        <v>13832.235105000002</v>
      </c>
      <c r="J59" s="577">
        <f>IFERROR(IF(VLOOKUP(J$2,MODULY_CBA!$B$3:$L$23,8,0)=$D59,SUMIF('Rozpocet - Vyvoj aplikacii'!$B$3:$B$179,'TCO TO BE- SW'!J$2,'Rozpocet - Vyvoj aplikacii'!$I$3:$I$179),0),0)</f>
        <v>0</v>
      </c>
      <c r="K59" s="577">
        <f>IFERROR(IF(VLOOKUP(K$2,MODULY_CBA!$B$3:$L$23,8,0)=$D59,SUMIF('Rozpocet - Vyvoj aplikacii'!$B$3:$B$179,'TCO TO BE- SW'!K$2,'Rozpocet - Vyvoj aplikacii'!$I$3:$I$179),0),0)</f>
        <v>0</v>
      </c>
      <c r="L59" s="577">
        <f>IFERROR(IF(VLOOKUP(L$2,MODULY_CBA!$B$3:$L$23,8,0)=$D59,SUMIF('Rozpocet - Vyvoj aplikacii'!$B$3:$B$179,'TCO TO BE- SW'!L$2,'Rozpocet - Vyvoj aplikacii'!$I$3:$I$179),0),0)</f>
        <v>0</v>
      </c>
      <c r="M59" s="577">
        <f>IFERROR(IF(VLOOKUP(M$2,MODULY_CBA!$B$3:$L$23,8,0)=$D59,SUMIF('Rozpocet - Vyvoj aplikacii'!$B$3:$B$179,'TCO TO BE- SW'!M$2,'Rozpocet - Vyvoj aplikacii'!$I$3:$I$179),0),0)</f>
        <v>0</v>
      </c>
      <c r="N59" s="577">
        <f>IFERROR(IF(VLOOKUP(N$2,MODULY_CBA!$B$3:$L$23,8,0)=$D59,SUMIF('Rozpocet - Vyvoj aplikacii'!$B$3:$B$179,'TCO TO BE- SW'!N$2,'Rozpocet - Vyvoj aplikacii'!$I$3:$I$179),0),0)</f>
        <v>0</v>
      </c>
      <c r="O59" s="577">
        <f>IFERROR(IF(VLOOKUP(O$2,MODULY_CBA!$B$3:$L$23,8,0)=$D59,SUMIF('Rozpocet - Vyvoj aplikacii'!$B$3:$B$179,'TCO TO BE- SW'!O$2,'Rozpocet - Vyvoj aplikacii'!$I$3:$I$179),0),0)</f>
        <v>0</v>
      </c>
      <c r="P59" s="577">
        <f>IFERROR(IF(VLOOKUP(P$2,MODULY_CBA!$B$3:$L$23,8,0)=$D59,SUMIF('Rozpocet - Vyvoj aplikacii'!$B$3:$B$179,'TCO TO BE- SW'!P$2,'Rozpocet - Vyvoj aplikacii'!$I$3:$I$179),0),0)</f>
        <v>0</v>
      </c>
      <c r="Q59" s="577">
        <f>IFERROR(IF(VLOOKUP(Q$2,MODULY_CBA!$B$3:$L$23,8,0)=$D59,SUMIF('Rozpocet - Vyvoj aplikacii'!$B$3:$B$179,'TCO TO BE- SW'!Q$2,'Rozpocet - Vyvoj aplikacii'!$I$3:$I$179),0),0)</f>
        <v>0</v>
      </c>
      <c r="R59" s="577">
        <f>IFERROR(IF(VLOOKUP(R$2,MODULY_CBA!$B$3:$L$23,8,0)=$D59,SUMIF('Rozpocet - Vyvoj aplikacii'!$B$3:$B$179,'TCO TO BE- SW'!R$2,'Rozpocet - Vyvoj aplikacii'!$I$3:$I$179),0),0)</f>
        <v>0</v>
      </c>
      <c r="S59" s="577">
        <f>IFERROR(IF(VLOOKUP(S$2,MODULY_CBA!$B$3:$L$23,8,0)=$D59,SUMIF('Rozpocet - Vyvoj aplikacii'!$B$3:$B$179,'TCO TO BE- SW'!S$2,'Rozpocet - Vyvoj aplikacii'!$I$3:$I$179),0),0)</f>
        <v>0</v>
      </c>
      <c r="T59" s="577">
        <f>IFERROR(IF(VLOOKUP(T$2,MODULY_CBA!$B$3:$L$23,8,0)=$D59,SUMIF('Rozpocet - Vyvoj aplikacii'!$B$3:$B$179,'TCO TO BE- SW'!T$2,'Rozpocet - Vyvoj aplikacii'!$I$3:$I$179),0),0)</f>
        <v>0</v>
      </c>
      <c r="U59" s="577">
        <f>IFERROR(IF(VLOOKUP(U$2,MODULY_CBA!$B$3:$L$23,8,0)=$D59,SUMIF('Rozpocet - Vyvoj aplikacii'!$B$3:$B$179,'TCO TO BE- SW'!U$2,'Rozpocet - Vyvoj aplikacii'!$I$3:$I$179),0),0)</f>
        <v>0</v>
      </c>
      <c r="V59" s="577">
        <f>IFERROR(IF(VLOOKUP(V$2,MODULY_CBA!$B$3:$L$23,8,0)=$D59,SUMIF('Rozpocet - Vyvoj aplikacii'!$B$3:$B$179,'TCO TO BE- SW'!V$2,'Rozpocet - Vyvoj aplikacii'!$I$3:$I$179),0),0)</f>
        <v>0</v>
      </c>
      <c r="W59" s="577">
        <f>IFERROR(IF(VLOOKUP(W$2,MODULY_CBA!$B$3:$L$23,8,0)=$D59,SUMIF('Rozpocet - Vyvoj aplikacii'!$B$3:$B$179,'TCO TO BE- SW'!W$2,'Rozpocet - Vyvoj aplikacii'!$I$3:$I$179),0),0)</f>
        <v>0</v>
      </c>
      <c r="X59" s="577">
        <f>IFERROR(IF(VLOOKUP(X$2,MODULY_CBA!$B$3:$L$23,8,0)=$D59,SUMIF('Rozpocet - Vyvoj aplikacii'!$B$3:$B$179,'TCO TO BE- SW'!X$2,'Rozpocet - Vyvoj aplikacii'!$I$3:$I$179),0),0)</f>
        <v>0</v>
      </c>
      <c r="Y59" s="577">
        <f>IFERROR(IF(VLOOKUP(Y$2,MODULY_CBA!$B$3:$L$23,8,0)=$D59,SUMIF('Rozpocet - Vyvoj aplikacii'!$B$3:$B$179,'TCO TO BE- SW'!Y$2,'Rozpocet - Vyvoj aplikacii'!$I$3:$I$179),0),0)</f>
        <v>0</v>
      </c>
      <c r="Z59" s="577">
        <f>IFERROR(IF(VLOOKUP(Z$2,MODULY_CBA!$B$3:$L$23,8,0)=$D59,SUMIF('Rozpocet - Vyvoj aplikacii'!$B$3:$B$179,'TCO TO BE- SW'!Z$2,'Rozpocet - Vyvoj aplikacii'!$I$3:$I$179),0),0)</f>
        <v>0</v>
      </c>
    </row>
    <row r="60" spans="1:26" outlineLevel="2">
      <c r="A60" s="824"/>
      <c r="B60" s="825"/>
      <c r="C60" s="825"/>
      <c r="D60" s="64">
        <v>4</v>
      </c>
      <c r="E60" s="68">
        <f t="shared" si="7"/>
        <v>0</v>
      </c>
      <c r="F60" s="577">
        <f>IFERROR(IF(VLOOKUP(F$2,MODULY_CBA!$B$3:$L$23,8,0)=$D60,SUMIF('Rozpocet - Vyvoj aplikacii'!$B$3:$B$179,'TCO TO BE- SW'!F$2,'Rozpocet - Vyvoj aplikacii'!$I$3:$I$179),0),0)</f>
        <v>0</v>
      </c>
      <c r="G60" s="577">
        <f>IFERROR(IF(VLOOKUP(G$2,MODULY_CBA!$B$3:$L$23,8,0)=$D60,SUMIF('Rozpocet - Vyvoj aplikacii'!$B$3:$B$179,'TCO TO BE- SW'!G$2,'Rozpocet - Vyvoj aplikacii'!$I$3:$I$179),0),0)</f>
        <v>0</v>
      </c>
      <c r="H60" s="577">
        <f>IFERROR(IF(VLOOKUP(H$2,MODULY_CBA!$B$3:$L$23,8,0)=$D60,SUMIF('Rozpocet - Vyvoj aplikacii'!$B$3:$B$179,'TCO TO BE- SW'!H$2,'Rozpocet - Vyvoj aplikacii'!$I$3:$I$179),0),0)</f>
        <v>0</v>
      </c>
      <c r="I60" s="577">
        <f>IFERROR(IF(VLOOKUP(I$2,MODULY_CBA!$B$3:$L$23,8,0)=$D60,SUMIF('Rozpocet - Vyvoj aplikacii'!$B$3:$B$179,'TCO TO BE- SW'!I$2,'Rozpocet - Vyvoj aplikacii'!$I$3:$I$179),0),0)</f>
        <v>0</v>
      </c>
      <c r="J60" s="577">
        <f>IFERROR(IF(VLOOKUP(J$2,MODULY_CBA!$B$3:$L$23,8,0)=$D60,SUMIF('Rozpocet - Vyvoj aplikacii'!$B$3:$B$179,'TCO TO BE- SW'!J$2,'Rozpocet - Vyvoj aplikacii'!$I$3:$I$179),0),0)</f>
        <v>0</v>
      </c>
      <c r="K60" s="577">
        <f>IFERROR(IF(VLOOKUP(K$2,MODULY_CBA!$B$3:$L$23,8,0)=$D60,SUMIF('Rozpocet - Vyvoj aplikacii'!$B$3:$B$179,'TCO TO BE- SW'!K$2,'Rozpocet - Vyvoj aplikacii'!$I$3:$I$179),0),0)</f>
        <v>0</v>
      </c>
      <c r="L60" s="577">
        <f>IFERROR(IF(VLOOKUP(L$2,MODULY_CBA!$B$3:$L$23,8,0)=$D60,SUMIF('Rozpocet - Vyvoj aplikacii'!$B$3:$B$179,'TCO TO BE- SW'!L$2,'Rozpocet - Vyvoj aplikacii'!$I$3:$I$179),0),0)</f>
        <v>0</v>
      </c>
      <c r="M60" s="577">
        <f>IFERROR(IF(VLOOKUP(M$2,MODULY_CBA!$B$3:$L$23,8,0)=$D60,SUMIF('Rozpocet - Vyvoj aplikacii'!$B$3:$B$179,'TCO TO BE- SW'!M$2,'Rozpocet - Vyvoj aplikacii'!$I$3:$I$179),0),0)</f>
        <v>0</v>
      </c>
      <c r="N60" s="577">
        <f>IFERROR(IF(VLOOKUP(N$2,MODULY_CBA!$B$3:$L$23,8,0)=$D60,SUMIF('Rozpocet - Vyvoj aplikacii'!$B$3:$B$179,'TCO TO BE- SW'!N$2,'Rozpocet - Vyvoj aplikacii'!$I$3:$I$179),0),0)</f>
        <v>0</v>
      </c>
      <c r="O60" s="577">
        <f>IFERROR(IF(VLOOKUP(O$2,MODULY_CBA!$B$3:$L$23,8,0)=$D60,SUMIF('Rozpocet - Vyvoj aplikacii'!$B$3:$B$179,'TCO TO BE- SW'!O$2,'Rozpocet - Vyvoj aplikacii'!$I$3:$I$179),0),0)</f>
        <v>0</v>
      </c>
      <c r="P60" s="577">
        <f>IFERROR(IF(VLOOKUP(P$2,MODULY_CBA!$B$3:$L$23,8,0)=$D60,SUMIF('Rozpocet - Vyvoj aplikacii'!$B$3:$B$179,'TCO TO BE- SW'!P$2,'Rozpocet - Vyvoj aplikacii'!$I$3:$I$179),0),0)</f>
        <v>0</v>
      </c>
      <c r="Q60" s="577">
        <f>IFERROR(IF(VLOOKUP(Q$2,MODULY_CBA!$B$3:$L$23,8,0)=$D60,SUMIF('Rozpocet - Vyvoj aplikacii'!$B$3:$B$179,'TCO TO BE- SW'!Q$2,'Rozpocet - Vyvoj aplikacii'!$I$3:$I$179),0),0)</f>
        <v>0</v>
      </c>
      <c r="R60" s="577">
        <f>IFERROR(IF(VLOOKUP(R$2,MODULY_CBA!$B$3:$L$23,8,0)=$D60,SUMIF('Rozpocet - Vyvoj aplikacii'!$B$3:$B$179,'TCO TO BE- SW'!R$2,'Rozpocet - Vyvoj aplikacii'!$I$3:$I$179),0),0)</f>
        <v>0</v>
      </c>
      <c r="S60" s="577">
        <f>IFERROR(IF(VLOOKUP(S$2,MODULY_CBA!$B$3:$L$23,8,0)=$D60,SUMIF('Rozpocet - Vyvoj aplikacii'!$B$3:$B$179,'TCO TO BE- SW'!S$2,'Rozpocet - Vyvoj aplikacii'!$I$3:$I$179),0),0)</f>
        <v>0</v>
      </c>
      <c r="T60" s="577">
        <f>IFERROR(IF(VLOOKUP(T$2,MODULY_CBA!$B$3:$L$23,8,0)=$D60,SUMIF('Rozpocet - Vyvoj aplikacii'!$B$3:$B$179,'TCO TO BE- SW'!T$2,'Rozpocet - Vyvoj aplikacii'!$I$3:$I$179),0),0)</f>
        <v>0</v>
      </c>
      <c r="U60" s="577">
        <f>IFERROR(IF(VLOOKUP(U$2,MODULY_CBA!$B$3:$L$23,8,0)=$D60,SUMIF('Rozpocet - Vyvoj aplikacii'!$B$3:$B$179,'TCO TO BE- SW'!U$2,'Rozpocet - Vyvoj aplikacii'!$I$3:$I$179),0),0)</f>
        <v>0</v>
      </c>
      <c r="V60" s="577">
        <f>IFERROR(IF(VLOOKUP(V$2,MODULY_CBA!$B$3:$L$23,8,0)=$D60,SUMIF('Rozpocet - Vyvoj aplikacii'!$B$3:$B$179,'TCO TO BE- SW'!V$2,'Rozpocet - Vyvoj aplikacii'!$I$3:$I$179),0),0)</f>
        <v>0</v>
      </c>
      <c r="W60" s="577">
        <f>IFERROR(IF(VLOOKUP(W$2,MODULY_CBA!$B$3:$L$23,8,0)=$D60,SUMIF('Rozpocet - Vyvoj aplikacii'!$B$3:$B$179,'TCO TO BE- SW'!W$2,'Rozpocet - Vyvoj aplikacii'!$I$3:$I$179),0),0)</f>
        <v>0</v>
      </c>
      <c r="X60" s="577">
        <f>IFERROR(IF(VLOOKUP(X$2,MODULY_CBA!$B$3:$L$23,8,0)=$D60,SUMIF('Rozpocet - Vyvoj aplikacii'!$B$3:$B$179,'TCO TO BE- SW'!X$2,'Rozpocet - Vyvoj aplikacii'!$I$3:$I$179),0),0)</f>
        <v>0</v>
      </c>
      <c r="Y60" s="577">
        <f>IFERROR(IF(VLOOKUP(Y$2,MODULY_CBA!$B$3:$L$23,8,0)=$D60,SUMIF('Rozpocet - Vyvoj aplikacii'!$B$3:$B$179,'TCO TO BE- SW'!Y$2,'Rozpocet - Vyvoj aplikacii'!$I$3:$I$179),0),0)</f>
        <v>0</v>
      </c>
      <c r="Z60" s="577">
        <f>IFERROR(IF(VLOOKUP(Z$2,MODULY_CBA!$B$3:$L$23,8,0)=$D60,SUMIF('Rozpocet - Vyvoj aplikacii'!$B$3:$B$179,'TCO TO BE- SW'!Z$2,'Rozpocet - Vyvoj aplikacii'!$I$3:$I$179),0),0)</f>
        <v>0</v>
      </c>
    </row>
    <row r="61" spans="1:26" outlineLevel="2">
      <c r="A61" s="824"/>
      <c r="B61" s="825"/>
      <c r="C61" s="825"/>
      <c r="D61" s="64">
        <v>5</v>
      </c>
      <c r="E61" s="68">
        <f t="shared" si="7"/>
        <v>0</v>
      </c>
      <c r="F61" s="577">
        <f>IFERROR(IF(VLOOKUP(F$2,MODULY_CBA!$B$3:$L$23,8,0)=$D61,SUMIF('Rozpocet - Vyvoj aplikacii'!$B$3:$B$179,'TCO TO BE- SW'!F$2,'Rozpocet - Vyvoj aplikacii'!$I$3:$I$179),0),0)</f>
        <v>0</v>
      </c>
      <c r="G61" s="577">
        <f>IFERROR(IF(VLOOKUP(G$2,MODULY_CBA!$B$3:$L$23,8,0)=$D61,SUMIF('Rozpocet - Vyvoj aplikacii'!$B$3:$B$179,'TCO TO BE- SW'!G$2,'Rozpocet - Vyvoj aplikacii'!$I$3:$I$179),0),0)</f>
        <v>0</v>
      </c>
      <c r="H61" s="577">
        <f>IFERROR(IF(VLOOKUP(H$2,MODULY_CBA!$B$3:$L$23,8,0)=$D61,SUMIF('Rozpocet - Vyvoj aplikacii'!$B$3:$B$179,'TCO TO BE- SW'!H$2,'Rozpocet - Vyvoj aplikacii'!$I$3:$I$179),0),0)</f>
        <v>0</v>
      </c>
      <c r="I61" s="577">
        <f>IFERROR(IF(VLOOKUP(I$2,MODULY_CBA!$B$3:$L$23,8,0)=$D61,SUMIF('Rozpocet - Vyvoj aplikacii'!$B$3:$B$179,'TCO TO BE- SW'!I$2,'Rozpocet - Vyvoj aplikacii'!$I$3:$I$179),0),0)</f>
        <v>0</v>
      </c>
      <c r="J61" s="577">
        <f>IFERROR(IF(VLOOKUP(J$2,MODULY_CBA!$B$3:$L$23,8,0)=$D61,SUMIF('Rozpocet - Vyvoj aplikacii'!$B$3:$B$179,'TCO TO BE- SW'!J$2,'Rozpocet - Vyvoj aplikacii'!$I$3:$I$179),0),0)</f>
        <v>0</v>
      </c>
      <c r="K61" s="577">
        <f>IFERROR(IF(VLOOKUP(K$2,MODULY_CBA!$B$3:$L$23,8,0)=$D61,SUMIF('Rozpocet - Vyvoj aplikacii'!$B$3:$B$179,'TCO TO BE- SW'!K$2,'Rozpocet - Vyvoj aplikacii'!$I$3:$I$179),0),0)</f>
        <v>0</v>
      </c>
      <c r="L61" s="577">
        <f>IFERROR(IF(VLOOKUP(L$2,MODULY_CBA!$B$3:$L$23,8,0)=$D61,SUMIF('Rozpocet - Vyvoj aplikacii'!$B$3:$B$179,'TCO TO BE- SW'!L$2,'Rozpocet - Vyvoj aplikacii'!$I$3:$I$179),0),0)</f>
        <v>0</v>
      </c>
      <c r="M61" s="577">
        <f>IFERROR(IF(VLOOKUP(M$2,MODULY_CBA!$B$3:$L$23,8,0)=$D61,SUMIF('Rozpocet - Vyvoj aplikacii'!$B$3:$B$179,'TCO TO BE- SW'!M$2,'Rozpocet - Vyvoj aplikacii'!$I$3:$I$179),0),0)</f>
        <v>0</v>
      </c>
      <c r="N61" s="577">
        <f>IFERROR(IF(VLOOKUP(N$2,MODULY_CBA!$B$3:$L$23,8,0)=$D61,SUMIF('Rozpocet - Vyvoj aplikacii'!$B$3:$B$179,'TCO TO BE- SW'!N$2,'Rozpocet - Vyvoj aplikacii'!$I$3:$I$179),0),0)</f>
        <v>0</v>
      </c>
      <c r="O61" s="577">
        <f>IFERROR(IF(VLOOKUP(O$2,MODULY_CBA!$B$3:$L$23,8,0)=$D61,SUMIF('Rozpocet - Vyvoj aplikacii'!$B$3:$B$179,'TCO TO BE- SW'!O$2,'Rozpocet - Vyvoj aplikacii'!$I$3:$I$179),0),0)</f>
        <v>0</v>
      </c>
      <c r="P61" s="577">
        <f>IFERROR(IF(VLOOKUP(P$2,MODULY_CBA!$B$3:$L$23,8,0)=$D61,SUMIF('Rozpocet - Vyvoj aplikacii'!$B$3:$B$179,'TCO TO BE- SW'!P$2,'Rozpocet - Vyvoj aplikacii'!$I$3:$I$179),0),0)</f>
        <v>0</v>
      </c>
      <c r="Q61" s="577">
        <f>IFERROR(IF(VLOOKUP(Q$2,MODULY_CBA!$B$3:$L$23,8,0)=$D61,SUMIF('Rozpocet - Vyvoj aplikacii'!$B$3:$B$179,'TCO TO BE- SW'!Q$2,'Rozpocet - Vyvoj aplikacii'!$I$3:$I$179),0),0)</f>
        <v>0</v>
      </c>
      <c r="R61" s="577">
        <f>IFERROR(IF(VLOOKUP(R$2,MODULY_CBA!$B$3:$L$23,8,0)=$D61,SUMIF('Rozpocet - Vyvoj aplikacii'!$B$3:$B$179,'TCO TO BE- SW'!R$2,'Rozpocet - Vyvoj aplikacii'!$I$3:$I$179),0),0)</f>
        <v>0</v>
      </c>
      <c r="S61" s="577">
        <f>IFERROR(IF(VLOOKUP(S$2,MODULY_CBA!$B$3:$L$23,8,0)=$D61,SUMIF('Rozpocet - Vyvoj aplikacii'!$B$3:$B$179,'TCO TO BE- SW'!S$2,'Rozpocet - Vyvoj aplikacii'!$I$3:$I$179),0),0)</f>
        <v>0</v>
      </c>
      <c r="T61" s="577">
        <f>IFERROR(IF(VLOOKUP(T$2,MODULY_CBA!$B$3:$L$23,8,0)=$D61,SUMIF('Rozpocet - Vyvoj aplikacii'!$B$3:$B$179,'TCO TO BE- SW'!T$2,'Rozpocet - Vyvoj aplikacii'!$I$3:$I$179),0),0)</f>
        <v>0</v>
      </c>
      <c r="U61" s="577">
        <f>IFERROR(IF(VLOOKUP(U$2,MODULY_CBA!$B$3:$L$23,8,0)=$D61,SUMIF('Rozpocet - Vyvoj aplikacii'!$B$3:$B$179,'TCO TO BE- SW'!U$2,'Rozpocet - Vyvoj aplikacii'!$I$3:$I$179),0),0)</f>
        <v>0</v>
      </c>
      <c r="V61" s="577">
        <f>IFERROR(IF(VLOOKUP(V$2,MODULY_CBA!$B$3:$L$23,8,0)=$D61,SUMIF('Rozpocet - Vyvoj aplikacii'!$B$3:$B$179,'TCO TO BE- SW'!V$2,'Rozpocet - Vyvoj aplikacii'!$I$3:$I$179),0),0)</f>
        <v>0</v>
      </c>
      <c r="W61" s="577">
        <f>IFERROR(IF(VLOOKUP(W$2,MODULY_CBA!$B$3:$L$23,8,0)=$D61,SUMIF('Rozpocet - Vyvoj aplikacii'!$B$3:$B$179,'TCO TO BE- SW'!W$2,'Rozpocet - Vyvoj aplikacii'!$I$3:$I$179),0),0)</f>
        <v>0</v>
      </c>
      <c r="X61" s="577">
        <f>IFERROR(IF(VLOOKUP(X$2,MODULY_CBA!$B$3:$L$23,8,0)=$D61,SUMIF('Rozpocet - Vyvoj aplikacii'!$B$3:$B$179,'TCO TO BE- SW'!X$2,'Rozpocet - Vyvoj aplikacii'!$I$3:$I$179),0),0)</f>
        <v>0</v>
      </c>
      <c r="Y61" s="577">
        <f>IFERROR(IF(VLOOKUP(Y$2,MODULY_CBA!$B$3:$L$23,8,0)=$D61,SUMIF('Rozpocet - Vyvoj aplikacii'!$B$3:$B$179,'TCO TO BE- SW'!Y$2,'Rozpocet - Vyvoj aplikacii'!$I$3:$I$179),0),0)</f>
        <v>0</v>
      </c>
      <c r="Z61" s="577">
        <f>IFERROR(IF(VLOOKUP(Z$2,MODULY_CBA!$B$3:$L$23,8,0)=$D61,SUMIF('Rozpocet - Vyvoj aplikacii'!$B$3:$B$179,'TCO TO BE- SW'!Z$2,'Rozpocet - Vyvoj aplikacii'!$I$3:$I$179),0),0)</f>
        <v>0</v>
      </c>
    </row>
    <row r="62" spans="1:26" outlineLevel="2">
      <c r="A62" s="824"/>
      <c r="B62" s="825"/>
      <c r="C62" s="825"/>
      <c r="D62" s="64">
        <v>6</v>
      </c>
      <c r="E62" s="68">
        <f t="shared" si="7"/>
        <v>0</v>
      </c>
      <c r="F62" s="577">
        <f>IFERROR(IF(VLOOKUP(F$2,MODULY_CBA!$B$3:$L$23,8,0)=$D62,SUMIF('Rozpocet - Vyvoj aplikacii'!$B$3:$B$179,'TCO TO BE- SW'!F$2,'Rozpocet - Vyvoj aplikacii'!$I$3:$I$179),0),0)</f>
        <v>0</v>
      </c>
      <c r="G62" s="577">
        <f>IFERROR(IF(VLOOKUP(G$2,MODULY_CBA!$B$3:$L$23,8,0)=$D62,SUMIF('Rozpocet - Vyvoj aplikacii'!$B$3:$B$179,'TCO TO BE- SW'!G$2,'Rozpocet - Vyvoj aplikacii'!$I$3:$I$179),0),0)</f>
        <v>0</v>
      </c>
      <c r="H62" s="577">
        <f>IFERROR(IF(VLOOKUP(H$2,MODULY_CBA!$B$3:$L$23,8,0)=$D62,SUMIF('Rozpocet - Vyvoj aplikacii'!$B$3:$B$179,'TCO TO BE- SW'!H$2,'Rozpocet - Vyvoj aplikacii'!$I$3:$I$179),0),0)</f>
        <v>0</v>
      </c>
      <c r="I62" s="577">
        <f>IFERROR(IF(VLOOKUP(I$2,MODULY_CBA!$B$3:$L$23,8,0)=$D62,SUMIF('Rozpocet - Vyvoj aplikacii'!$B$3:$B$179,'TCO TO BE- SW'!I$2,'Rozpocet - Vyvoj aplikacii'!$I$3:$I$179),0),0)</f>
        <v>0</v>
      </c>
      <c r="J62" s="577">
        <f>IFERROR(IF(VLOOKUP(J$2,MODULY_CBA!$B$3:$L$23,8,0)=$D62,SUMIF('Rozpocet - Vyvoj aplikacii'!$B$3:$B$179,'TCO TO BE- SW'!J$2,'Rozpocet - Vyvoj aplikacii'!$I$3:$I$179),0),0)</f>
        <v>0</v>
      </c>
      <c r="K62" s="577">
        <f>IFERROR(IF(VLOOKUP(K$2,MODULY_CBA!$B$3:$L$23,8,0)=$D62,SUMIF('Rozpocet - Vyvoj aplikacii'!$B$3:$B$179,'TCO TO BE- SW'!K$2,'Rozpocet - Vyvoj aplikacii'!$I$3:$I$179),0),0)</f>
        <v>0</v>
      </c>
      <c r="L62" s="577">
        <f>IFERROR(IF(VLOOKUP(L$2,MODULY_CBA!$B$3:$L$23,8,0)=$D62,SUMIF('Rozpocet - Vyvoj aplikacii'!$B$3:$B$179,'TCO TO BE- SW'!L$2,'Rozpocet - Vyvoj aplikacii'!$I$3:$I$179),0),0)</f>
        <v>0</v>
      </c>
      <c r="M62" s="577">
        <f>IFERROR(IF(VLOOKUP(M$2,MODULY_CBA!$B$3:$L$23,8,0)=$D62,SUMIF('Rozpocet - Vyvoj aplikacii'!$B$3:$B$179,'TCO TO BE- SW'!M$2,'Rozpocet - Vyvoj aplikacii'!$I$3:$I$179),0),0)</f>
        <v>0</v>
      </c>
      <c r="N62" s="577">
        <f>IFERROR(IF(VLOOKUP(N$2,MODULY_CBA!$B$3:$L$23,8,0)=$D62,SUMIF('Rozpocet - Vyvoj aplikacii'!$B$3:$B$179,'TCO TO BE- SW'!N$2,'Rozpocet - Vyvoj aplikacii'!$I$3:$I$179),0),0)</f>
        <v>0</v>
      </c>
      <c r="O62" s="577">
        <f>IFERROR(IF(VLOOKUP(O$2,MODULY_CBA!$B$3:$L$23,8,0)=$D62,SUMIF('Rozpocet - Vyvoj aplikacii'!$B$3:$B$179,'TCO TO BE- SW'!O$2,'Rozpocet - Vyvoj aplikacii'!$I$3:$I$179),0),0)</f>
        <v>0</v>
      </c>
      <c r="P62" s="577">
        <f>IFERROR(IF(VLOOKUP(P$2,MODULY_CBA!$B$3:$L$23,8,0)=$D62,SUMIF('Rozpocet - Vyvoj aplikacii'!$B$3:$B$179,'TCO TO BE- SW'!P$2,'Rozpocet - Vyvoj aplikacii'!$I$3:$I$179),0),0)</f>
        <v>0</v>
      </c>
      <c r="Q62" s="577">
        <f>IFERROR(IF(VLOOKUP(Q$2,MODULY_CBA!$B$3:$L$23,8,0)=$D62,SUMIF('Rozpocet - Vyvoj aplikacii'!$B$3:$B$179,'TCO TO BE- SW'!Q$2,'Rozpocet - Vyvoj aplikacii'!$I$3:$I$179),0),0)</f>
        <v>0</v>
      </c>
      <c r="R62" s="577">
        <f>IFERROR(IF(VLOOKUP(R$2,MODULY_CBA!$B$3:$L$23,8,0)=$D62,SUMIF('Rozpocet - Vyvoj aplikacii'!$B$3:$B$179,'TCO TO BE- SW'!R$2,'Rozpocet - Vyvoj aplikacii'!$I$3:$I$179),0),0)</f>
        <v>0</v>
      </c>
      <c r="S62" s="577">
        <f>IFERROR(IF(VLOOKUP(S$2,MODULY_CBA!$B$3:$L$23,8,0)=$D62,SUMIF('Rozpocet - Vyvoj aplikacii'!$B$3:$B$179,'TCO TO BE- SW'!S$2,'Rozpocet - Vyvoj aplikacii'!$I$3:$I$179),0),0)</f>
        <v>0</v>
      </c>
      <c r="T62" s="577">
        <f>IFERROR(IF(VLOOKUP(T$2,MODULY_CBA!$B$3:$L$23,8,0)=$D62,SUMIF('Rozpocet - Vyvoj aplikacii'!$B$3:$B$179,'TCO TO BE- SW'!T$2,'Rozpocet - Vyvoj aplikacii'!$I$3:$I$179),0),0)</f>
        <v>0</v>
      </c>
      <c r="U62" s="577">
        <f>IFERROR(IF(VLOOKUP(U$2,MODULY_CBA!$B$3:$L$23,8,0)=$D62,SUMIF('Rozpocet - Vyvoj aplikacii'!$B$3:$B$179,'TCO TO BE- SW'!U$2,'Rozpocet - Vyvoj aplikacii'!$I$3:$I$179),0),0)</f>
        <v>0</v>
      </c>
      <c r="V62" s="577">
        <f>IFERROR(IF(VLOOKUP(V$2,MODULY_CBA!$B$3:$L$23,8,0)=$D62,SUMIF('Rozpocet - Vyvoj aplikacii'!$B$3:$B$179,'TCO TO BE- SW'!V$2,'Rozpocet - Vyvoj aplikacii'!$I$3:$I$179),0),0)</f>
        <v>0</v>
      </c>
      <c r="W62" s="577">
        <f>IFERROR(IF(VLOOKUP(W$2,MODULY_CBA!$B$3:$L$23,8,0)=$D62,SUMIF('Rozpocet - Vyvoj aplikacii'!$B$3:$B$179,'TCO TO BE- SW'!W$2,'Rozpocet - Vyvoj aplikacii'!$I$3:$I$179),0),0)</f>
        <v>0</v>
      </c>
      <c r="X62" s="577">
        <f>IFERROR(IF(VLOOKUP(X$2,MODULY_CBA!$B$3:$L$23,8,0)=$D62,SUMIF('Rozpocet - Vyvoj aplikacii'!$B$3:$B$179,'TCO TO BE- SW'!X$2,'Rozpocet - Vyvoj aplikacii'!$I$3:$I$179),0),0)</f>
        <v>0</v>
      </c>
      <c r="Y62" s="577">
        <f>IFERROR(IF(VLOOKUP(Y$2,MODULY_CBA!$B$3:$L$23,8,0)=$D62,SUMIF('Rozpocet - Vyvoj aplikacii'!$B$3:$B$179,'TCO TO BE- SW'!Y$2,'Rozpocet - Vyvoj aplikacii'!$I$3:$I$179),0),0)</f>
        <v>0</v>
      </c>
      <c r="Z62" s="577">
        <f>IFERROR(IF(VLOOKUP(Z$2,MODULY_CBA!$B$3:$L$23,8,0)=$D62,SUMIF('Rozpocet - Vyvoj aplikacii'!$B$3:$B$179,'TCO TO BE- SW'!Z$2,'Rozpocet - Vyvoj aplikacii'!$I$3:$I$179),0),0)</f>
        <v>0</v>
      </c>
    </row>
    <row r="63" spans="1:26" outlineLevel="2">
      <c r="A63" s="824"/>
      <c r="B63" s="825"/>
      <c r="C63" s="825"/>
      <c r="D63" s="64">
        <v>7</v>
      </c>
      <c r="E63" s="68">
        <f t="shared" si="7"/>
        <v>0</v>
      </c>
      <c r="F63" s="577">
        <f>IFERROR(IF(VLOOKUP(F$2,MODULY_CBA!$B$3:$L$23,8,0)=$D63,SUMIF('Rozpocet - Vyvoj aplikacii'!$B$3:$B$179,'TCO TO BE- SW'!F$2,'Rozpocet - Vyvoj aplikacii'!$I$3:$I$179),0),0)</f>
        <v>0</v>
      </c>
      <c r="G63" s="577">
        <f>IFERROR(IF(VLOOKUP(G$2,MODULY_CBA!$B$3:$L$23,8,0)=$D63,SUMIF('Rozpocet - Vyvoj aplikacii'!$B$3:$B$179,'TCO TO BE- SW'!G$2,'Rozpocet - Vyvoj aplikacii'!$I$3:$I$179),0),0)</f>
        <v>0</v>
      </c>
      <c r="H63" s="577">
        <f>IFERROR(IF(VLOOKUP(H$2,MODULY_CBA!$B$3:$L$23,8,0)=$D63,SUMIF('Rozpocet - Vyvoj aplikacii'!$B$3:$B$179,'TCO TO BE- SW'!H$2,'Rozpocet - Vyvoj aplikacii'!$I$3:$I$179),0),0)</f>
        <v>0</v>
      </c>
      <c r="I63" s="577">
        <f>IFERROR(IF(VLOOKUP(I$2,MODULY_CBA!$B$3:$L$23,8,0)=$D63,SUMIF('Rozpocet - Vyvoj aplikacii'!$B$3:$B$179,'TCO TO BE- SW'!I$2,'Rozpocet - Vyvoj aplikacii'!$I$3:$I$179),0),0)</f>
        <v>0</v>
      </c>
      <c r="J63" s="577">
        <f>IFERROR(IF(VLOOKUP(J$2,MODULY_CBA!$B$3:$L$23,8,0)=$D63,SUMIF('Rozpocet - Vyvoj aplikacii'!$B$3:$B$179,'TCO TO BE- SW'!J$2,'Rozpocet - Vyvoj aplikacii'!$I$3:$I$179),0),0)</f>
        <v>0</v>
      </c>
      <c r="K63" s="577">
        <f>IFERROR(IF(VLOOKUP(K$2,MODULY_CBA!$B$3:$L$23,8,0)=$D63,SUMIF('Rozpocet - Vyvoj aplikacii'!$B$3:$B$179,'TCO TO BE- SW'!K$2,'Rozpocet - Vyvoj aplikacii'!$I$3:$I$179),0),0)</f>
        <v>0</v>
      </c>
      <c r="L63" s="577">
        <f>IFERROR(IF(VLOOKUP(L$2,MODULY_CBA!$B$3:$L$23,8,0)=$D63,SUMIF('Rozpocet - Vyvoj aplikacii'!$B$3:$B$179,'TCO TO BE- SW'!L$2,'Rozpocet - Vyvoj aplikacii'!$I$3:$I$179),0),0)</f>
        <v>0</v>
      </c>
      <c r="M63" s="577">
        <f>IFERROR(IF(VLOOKUP(M$2,MODULY_CBA!$B$3:$L$23,8,0)=$D63,SUMIF('Rozpocet - Vyvoj aplikacii'!$B$3:$B$179,'TCO TO BE- SW'!M$2,'Rozpocet - Vyvoj aplikacii'!$I$3:$I$179),0),0)</f>
        <v>0</v>
      </c>
      <c r="N63" s="577">
        <f>IFERROR(IF(VLOOKUP(N$2,MODULY_CBA!$B$3:$L$23,8,0)=$D63,SUMIF('Rozpocet - Vyvoj aplikacii'!$B$3:$B$179,'TCO TO BE- SW'!N$2,'Rozpocet - Vyvoj aplikacii'!$I$3:$I$179),0),0)</f>
        <v>0</v>
      </c>
      <c r="O63" s="577">
        <f>IFERROR(IF(VLOOKUP(O$2,MODULY_CBA!$B$3:$L$23,8,0)=$D63,SUMIF('Rozpocet - Vyvoj aplikacii'!$B$3:$B$179,'TCO TO BE- SW'!O$2,'Rozpocet - Vyvoj aplikacii'!$I$3:$I$179),0),0)</f>
        <v>0</v>
      </c>
      <c r="P63" s="577">
        <f>IFERROR(IF(VLOOKUP(P$2,MODULY_CBA!$B$3:$L$23,8,0)=$D63,SUMIF('Rozpocet - Vyvoj aplikacii'!$B$3:$B$179,'TCO TO BE- SW'!P$2,'Rozpocet - Vyvoj aplikacii'!$I$3:$I$179),0),0)</f>
        <v>0</v>
      </c>
      <c r="Q63" s="577">
        <f>IFERROR(IF(VLOOKUP(Q$2,MODULY_CBA!$B$3:$L$23,8,0)=$D63,SUMIF('Rozpocet - Vyvoj aplikacii'!$B$3:$B$179,'TCO TO BE- SW'!Q$2,'Rozpocet - Vyvoj aplikacii'!$I$3:$I$179),0),0)</f>
        <v>0</v>
      </c>
      <c r="R63" s="577">
        <f>IFERROR(IF(VLOOKUP(R$2,MODULY_CBA!$B$3:$L$23,8,0)=$D63,SUMIF('Rozpocet - Vyvoj aplikacii'!$B$3:$B$179,'TCO TO BE- SW'!R$2,'Rozpocet - Vyvoj aplikacii'!$I$3:$I$179),0),0)</f>
        <v>0</v>
      </c>
      <c r="S63" s="577">
        <f>IFERROR(IF(VLOOKUP(S$2,MODULY_CBA!$B$3:$L$23,8,0)=$D63,SUMIF('Rozpocet - Vyvoj aplikacii'!$B$3:$B$179,'TCO TO BE- SW'!S$2,'Rozpocet - Vyvoj aplikacii'!$I$3:$I$179),0),0)</f>
        <v>0</v>
      </c>
      <c r="T63" s="577">
        <f>IFERROR(IF(VLOOKUP(T$2,MODULY_CBA!$B$3:$L$23,8,0)=$D63,SUMIF('Rozpocet - Vyvoj aplikacii'!$B$3:$B$179,'TCO TO BE- SW'!T$2,'Rozpocet - Vyvoj aplikacii'!$I$3:$I$179),0),0)</f>
        <v>0</v>
      </c>
      <c r="U63" s="577">
        <f>IFERROR(IF(VLOOKUP(U$2,MODULY_CBA!$B$3:$L$23,8,0)=$D63,SUMIF('Rozpocet - Vyvoj aplikacii'!$B$3:$B$179,'TCO TO BE- SW'!U$2,'Rozpocet - Vyvoj aplikacii'!$I$3:$I$179),0),0)</f>
        <v>0</v>
      </c>
      <c r="V63" s="577">
        <f>IFERROR(IF(VLOOKUP(V$2,MODULY_CBA!$B$3:$L$23,8,0)=$D63,SUMIF('Rozpocet - Vyvoj aplikacii'!$B$3:$B$179,'TCO TO BE- SW'!V$2,'Rozpocet - Vyvoj aplikacii'!$I$3:$I$179),0),0)</f>
        <v>0</v>
      </c>
      <c r="W63" s="577">
        <f>IFERROR(IF(VLOOKUP(W$2,MODULY_CBA!$B$3:$L$23,8,0)=$D63,SUMIF('Rozpocet - Vyvoj aplikacii'!$B$3:$B$179,'TCO TO BE- SW'!W$2,'Rozpocet - Vyvoj aplikacii'!$I$3:$I$179),0),0)</f>
        <v>0</v>
      </c>
      <c r="X63" s="577">
        <f>IFERROR(IF(VLOOKUP(X$2,MODULY_CBA!$B$3:$L$23,8,0)=$D63,SUMIF('Rozpocet - Vyvoj aplikacii'!$B$3:$B$179,'TCO TO BE- SW'!X$2,'Rozpocet - Vyvoj aplikacii'!$I$3:$I$179),0),0)</f>
        <v>0</v>
      </c>
      <c r="Y63" s="577">
        <f>IFERROR(IF(VLOOKUP(Y$2,MODULY_CBA!$B$3:$L$23,8,0)=$D63,SUMIF('Rozpocet - Vyvoj aplikacii'!$B$3:$B$179,'TCO TO BE- SW'!Y$2,'Rozpocet - Vyvoj aplikacii'!$I$3:$I$179),0),0)</f>
        <v>0</v>
      </c>
      <c r="Z63" s="577">
        <f>IFERROR(IF(VLOOKUP(Z$2,MODULY_CBA!$B$3:$L$23,8,0)=$D63,SUMIF('Rozpocet - Vyvoj aplikacii'!$B$3:$B$179,'TCO TO BE- SW'!Z$2,'Rozpocet - Vyvoj aplikacii'!$I$3:$I$179),0),0)</f>
        <v>0</v>
      </c>
    </row>
    <row r="64" spans="1:26" outlineLevel="2">
      <c r="A64" s="824"/>
      <c r="B64" s="825"/>
      <c r="C64" s="825"/>
      <c r="D64" s="64">
        <v>8</v>
      </c>
      <c r="E64" s="68">
        <f t="shared" si="7"/>
        <v>0</v>
      </c>
      <c r="F64" s="577">
        <f>IFERROR(IF(VLOOKUP(F$2,MODULY_CBA!$B$3:$L$23,8,0)=$D64,SUMIF('Rozpocet - Vyvoj aplikacii'!$B$3:$B$179,'TCO TO BE- SW'!F$2,'Rozpocet - Vyvoj aplikacii'!$I$3:$I$179),0),0)</f>
        <v>0</v>
      </c>
      <c r="G64" s="577">
        <f>IFERROR(IF(VLOOKUP(G$2,MODULY_CBA!$B$3:$L$23,8,0)=$D64,SUMIF('Rozpocet - Vyvoj aplikacii'!$B$3:$B$179,'TCO TO BE- SW'!G$2,'Rozpocet - Vyvoj aplikacii'!$I$3:$I$179),0),0)</f>
        <v>0</v>
      </c>
      <c r="H64" s="577">
        <f>IFERROR(IF(VLOOKUP(H$2,MODULY_CBA!$B$3:$L$23,8,0)=$D64,SUMIF('Rozpocet - Vyvoj aplikacii'!$B$3:$B$179,'TCO TO BE- SW'!H$2,'Rozpocet - Vyvoj aplikacii'!$I$3:$I$179),0),0)</f>
        <v>0</v>
      </c>
      <c r="I64" s="577">
        <f>IFERROR(IF(VLOOKUP(I$2,MODULY_CBA!$B$3:$L$23,8,0)=$D64,SUMIF('Rozpocet - Vyvoj aplikacii'!$B$3:$B$179,'TCO TO BE- SW'!I$2,'Rozpocet - Vyvoj aplikacii'!$I$3:$I$179),0),0)</f>
        <v>0</v>
      </c>
      <c r="J64" s="577">
        <f>IFERROR(IF(VLOOKUP(J$2,MODULY_CBA!$B$3:$L$23,8,0)=$D64,SUMIF('Rozpocet - Vyvoj aplikacii'!$B$3:$B$179,'TCO TO BE- SW'!J$2,'Rozpocet - Vyvoj aplikacii'!$I$3:$I$179),0),0)</f>
        <v>0</v>
      </c>
      <c r="K64" s="577">
        <f>IFERROR(IF(VLOOKUP(K$2,MODULY_CBA!$B$3:$L$23,8,0)=$D64,SUMIF('Rozpocet - Vyvoj aplikacii'!$B$3:$B$179,'TCO TO BE- SW'!K$2,'Rozpocet - Vyvoj aplikacii'!$I$3:$I$179),0),0)</f>
        <v>0</v>
      </c>
      <c r="L64" s="577">
        <f>IFERROR(IF(VLOOKUP(L$2,MODULY_CBA!$B$3:$L$23,8,0)=$D64,SUMIF('Rozpocet - Vyvoj aplikacii'!$B$3:$B$179,'TCO TO BE- SW'!L$2,'Rozpocet - Vyvoj aplikacii'!$I$3:$I$179),0),0)</f>
        <v>0</v>
      </c>
      <c r="M64" s="577">
        <f>IFERROR(IF(VLOOKUP(M$2,MODULY_CBA!$B$3:$L$23,8,0)=$D64,SUMIF('Rozpocet - Vyvoj aplikacii'!$B$3:$B$179,'TCO TO BE- SW'!M$2,'Rozpocet - Vyvoj aplikacii'!$I$3:$I$179),0),0)</f>
        <v>0</v>
      </c>
      <c r="N64" s="577">
        <f>IFERROR(IF(VLOOKUP(N$2,MODULY_CBA!$B$3:$L$23,8,0)=$D64,SUMIF('Rozpocet - Vyvoj aplikacii'!$B$3:$B$179,'TCO TO BE- SW'!N$2,'Rozpocet - Vyvoj aplikacii'!$I$3:$I$179),0),0)</f>
        <v>0</v>
      </c>
      <c r="O64" s="577">
        <f>IFERROR(IF(VLOOKUP(O$2,MODULY_CBA!$B$3:$L$23,8,0)=$D64,SUMIF('Rozpocet - Vyvoj aplikacii'!$B$3:$B$179,'TCO TO BE- SW'!O$2,'Rozpocet - Vyvoj aplikacii'!$I$3:$I$179),0),0)</f>
        <v>0</v>
      </c>
      <c r="P64" s="577">
        <f>IFERROR(IF(VLOOKUP(P$2,MODULY_CBA!$B$3:$L$23,8,0)=$D64,SUMIF('Rozpocet - Vyvoj aplikacii'!$B$3:$B$179,'TCO TO BE- SW'!P$2,'Rozpocet - Vyvoj aplikacii'!$I$3:$I$179),0),0)</f>
        <v>0</v>
      </c>
      <c r="Q64" s="577">
        <f>IFERROR(IF(VLOOKUP(Q$2,MODULY_CBA!$B$3:$L$23,8,0)=$D64,SUMIF('Rozpocet - Vyvoj aplikacii'!$B$3:$B$179,'TCO TO BE- SW'!Q$2,'Rozpocet - Vyvoj aplikacii'!$I$3:$I$179),0),0)</f>
        <v>0</v>
      </c>
      <c r="R64" s="577">
        <f>IFERROR(IF(VLOOKUP(R$2,MODULY_CBA!$B$3:$L$23,8,0)=$D64,SUMIF('Rozpocet - Vyvoj aplikacii'!$B$3:$B$179,'TCO TO BE- SW'!R$2,'Rozpocet - Vyvoj aplikacii'!$I$3:$I$179),0),0)</f>
        <v>0</v>
      </c>
      <c r="S64" s="577">
        <f>IFERROR(IF(VLOOKUP(S$2,MODULY_CBA!$B$3:$L$23,8,0)=$D64,SUMIF('Rozpocet - Vyvoj aplikacii'!$B$3:$B$179,'TCO TO BE- SW'!S$2,'Rozpocet - Vyvoj aplikacii'!$I$3:$I$179),0),0)</f>
        <v>0</v>
      </c>
      <c r="T64" s="577">
        <f>IFERROR(IF(VLOOKUP(T$2,MODULY_CBA!$B$3:$L$23,8,0)=$D64,SUMIF('Rozpocet - Vyvoj aplikacii'!$B$3:$B$179,'TCO TO BE- SW'!T$2,'Rozpocet - Vyvoj aplikacii'!$I$3:$I$179),0),0)</f>
        <v>0</v>
      </c>
      <c r="U64" s="577">
        <f>IFERROR(IF(VLOOKUP(U$2,MODULY_CBA!$B$3:$L$23,8,0)=$D64,SUMIF('Rozpocet - Vyvoj aplikacii'!$B$3:$B$179,'TCO TO BE- SW'!U$2,'Rozpocet - Vyvoj aplikacii'!$I$3:$I$179),0),0)</f>
        <v>0</v>
      </c>
      <c r="V64" s="577">
        <f>IFERROR(IF(VLOOKUP(V$2,MODULY_CBA!$B$3:$L$23,8,0)=$D64,SUMIF('Rozpocet - Vyvoj aplikacii'!$B$3:$B$179,'TCO TO BE- SW'!V$2,'Rozpocet - Vyvoj aplikacii'!$I$3:$I$179),0),0)</f>
        <v>0</v>
      </c>
      <c r="W64" s="577">
        <f>IFERROR(IF(VLOOKUP(W$2,MODULY_CBA!$B$3:$L$23,8,0)=$D64,SUMIF('Rozpocet - Vyvoj aplikacii'!$B$3:$B$179,'TCO TO BE- SW'!W$2,'Rozpocet - Vyvoj aplikacii'!$I$3:$I$179),0),0)</f>
        <v>0</v>
      </c>
      <c r="X64" s="577">
        <f>IFERROR(IF(VLOOKUP(X$2,MODULY_CBA!$B$3:$L$23,8,0)=$D64,SUMIF('Rozpocet - Vyvoj aplikacii'!$B$3:$B$179,'TCO TO BE- SW'!X$2,'Rozpocet - Vyvoj aplikacii'!$I$3:$I$179),0),0)</f>
        <v>0</v>
      </c>
      <c r="Y64" s="577">
        <f>IFERROR(IF(VLOOKUP(Y$2,MODULY_CBA!$B$3:$L$23,8,0)=$D64,SUMIF('Rozpocet - Vyvoj aplikacii'!$B$3:$B$179,'TCO TO BE- SW'!Y$2,'Rozpocet - Vyvoj aplikacii'!$I$3:$I$179),0),0)</f>
        <v>0</v>
      </c>
      <c r="Z64" s="577">
        <f>IFERROR(IF(VLOOKUP(Z$2,MODULY_CBA!$B$3:$L$23,8,0)=$D64,SUMIF('Rozpocet - Vyvoj aplikacii'!$B$3:$B$179,'TCO TO BE- SW'!Z$2,'Rozpocet - Vyvoj aplikacii'!$I$3:$I$179),0),0)</f>
        <v>0</v>
      </c>
    </row>
    <row r="65" spans="1:26" outlineLevel="2">
      <c r="A65" s="824"/>
      <c r="B65" s="825"/>
      <c r="C65" s="825"/>
      <c r="D65" s="64">
        <v>9</v>
      </c>
      <c r="E65" s="68">
        <f t="shared" si="7"/>
        <v>0</v>
      </c>
      <c r="F65" s="577">
        <f>IFERROR(IF(VLOOKUP(F$2,MODULY_CBA!$B$3:$L$23,8,0)=$D65,SUMIF('Rozpocet - Vyvoj aplikacii'!$B$3:$B$179,'TCO TO BE- SW'!F$2,'Rozpocet - Vyvoj aplikacii'!$I$3:$I$179),0),0)</f>
        <v>0</v>
      </c>
      <c r="G65" s="577">
        <f>IFERROR(IF(VLOOKUP(G$2,MODULY_CBA!$B$3:$L$23,8,0)=$D65,SUMIF('Rozpocet - Vyvoj aplikacii'!$B$3:$B$179,'TCO TO BE- SW'!G$2,'Rozpocet - Vyvoj aplikacii'!$I$3:$I$179),0),0)</f>
        <v>0</v>
      </c>
      <c r="H65" s="577">
        <f>IFERROR(IF(VLOOKUP(H$2,MODULY_CBA!$B$3:$L$23,8,0)=$D65,SUMIF('Rozpocet - Vyvoj aplikacii'!$B$3:$B$179,'TCO TO BE- SW'!H$2,'Rozpocet - Vyvoj aplikacii'!$I$3:$I$179),0),0)</f>
        <v>0</v>
      </c>
      <c r="I65" s="577">
        <f>IFERROR(IF(VLOOKUP(I$2,MODULY_CBA!$B$3:$L$23,8,0)=$D65,SUMIF('Rozpocet - Vyvoj aplikacii'!$B$3:$B$179,'TCO TO BE- SW'!I$2,'Rozpocet - Vyvoj aplikacii'!$I$3:$I$179),0),0)</f>
        <v>0</v>
      </c>
      <c r="J65" s="577">
        <f>IFERROR(IF(VLOOKUP(J$2,MODULY_CBA!$B$3:$L$23,8,0)=$D65,SUMIF('Rozpocet - Vyvoj aplikacii'!$B$3:$B$179,'TCO TO BE- SW'!J$2,'Rozpocet - Vyvoj aplikacii'!$I$3:$I$179),0),0)</f>
        <v>0</v>
      </c>
      <c r="K65" s="577">
        <f>IFERROR(IF(VLOOKUP(K$2,MODULY_CBA!$B$3:$L$23,8,0)=$D65,SUMIF('Rozpocet - Vyvoj aplikacii'!$B$3:$B$179,'TCO TO BE- SW'!K$2,'Rozpocet - Vyvoj aplikacii'!$I$3:$I$179),0),0)</f>
        <v>0</v>
      </c>
      <c r="L65" s="577">
        <f>IFERROR(IF(VLOOKUP(L$2,MODULY_CBA!$B$3:$L$23,8,0)=$D65,SUMIF('Rozpocet - Vyvoj aplikacii'!$B$3:$B$179,'TCO TO BE- SW'!L$2,'Rozpocet - Vyvoj aplikacii'!$I$3:$I$179),0),0)</f>
        <v>0</v>
      </c>
      <c r="M65" s="577">
        <f>IFERROR(IF(VLOOKUP(M$2,MODULY_CBA!$B$3:$L$23,8,0)=$D65,SUMIF('Rozpocet - Vyvoj aplikacii'!$B$3:$B$179,'TCO TO BE- SW'!M$2,'Rozpocet - Vyvoj aplikacii'!$I$3:$I$179),0),0)</f>
        <v>0</v>
      </c>
      <c r="N65" s="577">
        <f>IFERROR(IF(VLOOKUP(N$2,MODULY_CBA!$B$3:$L$23,8,0)=$D65,SUMIF('Rozpocet - Vyvoj aplikacii'!$B$3:$B$179,'TCO TO BE- SW'!N$2,'Rozpocet - Vyvoj aplikacii'!$I$3:$I$179),0),0)</f>
        <v>0</v>
      </c>
      <c r="O65" s="577">
        <f>IFERROR(IF(VLOOKUP(O$2,MODULY_CBA!$B$3:$L$23,8,0)=$D65,SUMIF('Rozpocet - Vyvoj aplikacii'!$B$3:$B$179,'TCO TO BE- SW'!O$2,'Rozpocet - Vyvoj aplikacii'!$I$3:$I$179),0),0)</f>
        <v>0</v>
      </c>
      <c r="P65" s="577">
        <f>IFERROR(IF(VLOOKUP(P$2,MODULY_CBA!$B$3:$L$23,8,0)=$D65,SUMIF('Rozpocet - Vyvoj aplikacii'!$B$3:$B$179,'TCO TO BE- SW'!P$2,'Rozpocet - Vyvoj aplikacii'!$I$3:$I$179),0),0)</f>
        <v>0</v>
      </c>
      <c r="Q65" s="577">
        <f>IFERROR(IF(VLOOKUP(Q$2,MODULY_CBA!$B$3:$L$23,8,0)=$D65,SUMIF('Rozpocet - Vyvoj aplikacii'!$B$3:$B$179,'TCO TO BE- SW'!Q$2,'Rozpocet - Vyvoj aplikacii'!$I$3:$I$179),0),0)</f>
        <v>0</v>
      </c>
      <c r="R65" s="577">
        <f>IFERROR(IF(VLOOKUP(R$2,MODULY_CBA!$B$3:$L$23,8,0)=$D65,SUMIF('Rozpocet - Vyvoj aplikacii'!$B$3:$B$179,'TCO TO BE- SW'!R$2,'Rozpocet - Vyvoj aplikacii'!$I$3:$I$179),0),0)</f>
        <v>0</v>
      </c>
      <c r="S65" s="577">
        <f>IFERROR(IF(VLOOKUP(S$2,MODULY_CBA!$B$3:$L$23,8,0)=$D65,SUMIF('Rozpocet - Vyvoj aplikacii'!$B$3:$B$179,'TCO TO BE- SW'!S$2,'Rozpocet - Vyvoj aplikacii'!$I$3:$I$179),0),0)</f>
        <v>0</v>
      </c>
      <c r="T65" s="577">
        <f>IFERROR(IF(VLOOKUP(T$2,MODULY_CBA!$B$3:$L$23,8,0)=$D65,SUMIF('Rozpocet - Vyvoj aplikacii'!$B$3:$B$179,'TCO TO BE- SW'!T$2,'Rozpocet - Vyvoj aplikacii'!$I$3:$I$179),0),0)</f>
        <v>0</v>
      </c>
      <c r="U65" s="577">
        <f>IFERROR(IF(VLOOKUP(U$2,MODULY_CBA!$B$3:$L$23,8,0)=$D65,SUMIF('Rozpocet - Vyvoj aplikacii'!$B$3:$B$179,'TCO TO BE- SW'!U$2,'Rozpocet - Vyvoj aplikacii'!$I$3:$I$179),0),0)</f>
        <v>0</v>
      </c>
      <c r="V65" s="577">
        <f>IFERROR(IF(VLOOKUP(V$2,MODULY_CBA!$B$3:$L$23,8,0)=$D65,SUMIF('Rozpocet - Vyvoj aplikacii'!$B$3:$B$179,'TCO TO BE- SW'!V$2,'Rozpocet - Vyvoj aplikacii'!$I$3:$I$179),0),0)</f>
        <v>0</v>
      </c>
      <c r="W65" s="577">
        <f>IFERROR(IF(VLOOKUP(W$2,MODULY_CBA!$B$3:$L$23,8,0)=$D65,SUMIF('Rozpocet - Vyvoj aplikacii'!$B$3:$B$179,'TCO TO BE- SW'!W$2,'Rozpocet - Vyvoj aplikacii'!$I$3:$I$179),0),0)</f>
        <v>0</v>
      </c>
      <c r="X65" s="577">
        <f>IFERROR(IF(VLOOKUP(X$2,MODULY_CBA!$B$3:$L$23,8,0)=$D65,SUMIF('Rozpocet - Vyvoj aplikacii'!$B$3:$B$179,'TCO TO BE- SW'!X$2,'Rozpocet - Vyvoj aplikacii'!$I$3:$I$179),0),0)</f>
        <v>0</v>
      </c>
      <c r="Y65" s="577">
        <f>IFERROR(IF(VLOOKUP(Y$2,MODULY_CBA!$B$3:$L$23,8,0)=$D65,SUMIF('Rozpocet - Vyvoj aplikacii'!$B$3:$B$179,'TCO TO BE- SW'!Y$2,'Rozpocet - Vyvoj aplikacii'!$I$3:$I$179),0),0)</f>
        <v>0</v>
      </c>
      <c r="Z65" s="577">
        <f>IFERROR(IF(VLOOKUP(Z$2,MODULY_CBA!$B$3:$L$23,8,0)=$D65,SUMIF('Rozpocet - Vyvoj aplikacii'!$B$3:$B$179,'TCO TO BE- SW'!Z$2,'Rozpocet - Vyvoj aplikacii'!$I$3:$I$179),0),0)</f>
        <v>0</v>
      </c>
    </row>
    <row r="66" spans="1:26" ht="15.75" outlineLevel="2" thickBot="1">
      <c r="A66" s="824"/>
      <c r="B66" s="825"/>
      <c r="C66" s="825"/>
      <c r="D66" s="65">
        <v>10</v>
      </c>
      <c r="E66" s="69">
        <f t="shared" si="7"/>
        <v>0</v>
      </c>
      <c r="F66" s="578">
        <f>IFERROR(IF(VLOOKUP(F$2,MODULY_CBA!$B$3:$L$23,8,0)=$D66,SUMIF('Rozpocet - Vyvoj aplikacii'!$B$3:$B$179,'TCO TO BE- SW'!F$2,'Rozpocet - Vyvoj aplikacii'!$I$3:$I$179),0),0)</f>
        <v>0</v>
      </c>
      <c r="G66" s="578">
        <f>IFERROR(IF(VLOOKUP(G$2,MODULY_CBA!$B$3:$L$23,8,0)=$D66,SUMIF('Rozpocet - Vyvoj aplikacii'!$B$3:$B$179,'TCO TO BE- SW'!G$2,'Rozpocet - Vyvoj aplikacii'!$I$3:$I$179),0),0)</f>
        <v>0</v>
      </c>
      <c r="H66" s="578">
        <f>IFERROR(IF(VLOOKUP(H$2,MODULY_CBA!$B$3:$L$23,8,0)=$D66,SUMIF('Rozpocet - Vyvoj aplikacii'!$B$3:$B$179,'TCO TO BE- SW'!H$2,'Rozpocet - Vyvoj aplikacii'!$I$3:$I$179),0),0)</f>
        <v>0</v>
      </c>
      <c r="I66" s="578">
        <f>IFERROR(IF(VLOOKUP(I$2,MODULY_CBA!$B$3:$L$23,8,0)=$D66,SUMIF('Rozpocet - Vyvoj aplikacii'!$B$3:$B$179,'TCO TO BE- SW'!I$2,'Rozpocet - Vyvoj aplikacii'!$I$3:$I$179),0),0)</f>
        <v>0</v>
      </c>
      <c r="J66" s="578">
        <f>IFERROR(IF(VLOOKUP(J$2,MODULY_CBA!$B$3:$L$23,8,0)=$D66,SUMIF('Rozpocet - Vyvoj aplikacii'!$B$3:$B$179,'TCO TO BE- SW'!J$2,'Rozpocet - Vyvoj aplikacii'!$I$3:$I$179),0),0)</f>
        <v>0</v>
      </c>
      <c r="K66" s="578">
        <f>IFERROR(IF(VLOOKUP(K$2,MODULY_CBA!$B$3:$L$23,8,0)=$D66,SUMIF('Rozpocet - Vyvoj aplikacii'!$B$3:$B$179,'TCO TO BE- SW'!K$2,'Rozpocet - Vyvoj aplikacii'!$I$3:$I$179),0),0)</f>
        <v>0</v>
      </c>
      <c r="L66" s="578">
        <f>IFERROR(IF(VLOOKUP(L$2,MODULY_CBA!$B$3:$L$23,8,0)=$D66,SUMIF('Rozpocet - Vyvoj aplikacii'!$B$3:$B$179,'TCO TO BE- SW'!L$2,'Rozpocet - Vyvoj aplikacii'!$I$3:$I$179),0),0)</f>
        <v>0</v>
      </c>
      <c r="M66" s="578">
        <f>IFERROR(IF(VLOOKUP(M$2,MODULY_CBA!$B$3:$L$23,8,0)=$D66,SUMIF('Rozpocet - Vyvoj aplikacii'!$B$3:$B$179,'TCO TO BE- SW'!M$2,'Rozpocet - Vyvoj aplikacii'!$I$3:$I$179),0),0)</f>
        <v>0</v>
      </c>
      <c r="N66" s="578">
        <f>IFERROR(IF(VLOOKUP(N$2,MODULY_CBA!$B$3:$L$23,8,0)=$D66,SUMIF('Rozpocet - Vyvoj aplikacii'!$B$3:$B$179,'TCO TO BE- SW'!N$2,'Rozpocet - Vyvoj aplikacii'!$I$3:$I$179),0),0)</f>
        <v>0</v>
      </c>
      <c r="O66" s="578">
        <f>IFERROR(IF(VLOOKUP(O$2,MODULY_CBA!$B$3:$L$23,8,0)=$D66,SUMIF('Rozpocet - Vyvoj aplikacii'!$B$3:$B$179,'TCO TO BE- SW'!O$2,'Rozpocet - Vyvoj aplikacii'!$I$3:$I$179),0),0)</f>
        <v>0</v>
      </c>
      <c r="P66" s="578">
        <f>IFERROR(IF(VLOOKUP(P$2,MODULY_CBA!$B$3:$L$23,8,0)=$D66,SUMIF('Rozpocet - Vyvoj aplikacii'!$B$3:$B$179,'TCO TO BE- SW'!P$2,'Rozpocet - Vyvoj aplikacii'!$I$3:$I$179),0),0)</f>
        <v>0</v>
      </c>
      <c r="Q66" s="578">
        <f>IFERROR(IF(VLOOKUP(Q$2,MODULY_CBA!$B$3:$L$23,8,0)=$D66,SUMIF('Rozpocet - Vyvoj aplikacii'!$B$3:$B$179,'TCO TO BE- SW'!Q$2,'Rozpocet - Vyvoj aplikacii'!$I$3:$I$179),0),0)</f>
        <v>0</v>
      </c>
      <c r="R66" s="578">
        <f>IFERROR(IF(VLOOKUP(R$2,MODULY_CBA!$B$3:$L$23,8,0)=$D66,SUMIF('Rozpocet - Vyvoj aplikacii'!$B$3:$B$179,'TCO TO BE- SW'!R$2,'Rozpocet - Vyvoj aplikacii'!$I$3:$I$179),0),0)</f>
        <v>0</v>
      </c>
      <c r="S66" s="578">
        <f>IFERROR(IF(VLOOKUP(S$2,MODULY_CBA!$B$3:$L$23,8,0)=$D66,SUMIF('Rozpocet - Vyvoj aplikacii'!$B$3:$B$179,'TCO TO BE- SW'!S$2,'Rozpocet - Vyvoj aplikacii'!$I$3:$I$179),0),0)</f>
        <v>0</v>
      </c>
      <c r="T66" s="578">
        <f>IFERROR(IF(VLOOKUP(T$2,MODULY_CBA!$B$3:$L$23,8,0)=$D66,SUMIF('Rozpocet - Vyvoj aplikacii'!$B$3:$B$179,'TCO TO BE- SW'!T$2,'Rozpocet - Vyvoj aplikacii'!$I$3:$I$179),0),0)</f>
        <v>0</v>
      </c>
      <c r="U66" s="578">
        <f>IFERROR(IF(VLOOKUP(U$2,MODULY_CBA!$B$3:$L$23,8,0)=$D66,SUMIF('Rozpocet - Vyvoj aplikacii'!$B$3:$B$179,'TCO TO BE- SW'!U$2,'Rozpocet - Vyvoj aplikacii'!$I$3:$I$179),0),0)</f>
        <v>0</v>
      </c>
      <c r="V66" s="578">
        <f>IFERROR(IF(VLOOKUP(V$2,MODULY_CBA!$B$3:$L$23,8,0)=$D66,SUMIF('Rozpocet - Vyvoj aplikacii'!$B$3:$B$179,'TCO TO BE- SW'!V$2,'Rozpocet - Vyvoj aplikacii'!$I$3:$I$179),0),0)</f>
        <v>0</v>
      </c>
      <c r="W66" s="578">
        <f>IFERROR(IF(VLOOKUP(W$2,MODULY_CBA!$B$3:$L$23,8,0)=$D66,SUMIF('Rozpocet - Vyvoj aplikacii'!$B$3:$B$179,'TCO TO BE- SW'!W$2,'Rozpocet - Vyvoj aplikacii'!$I$3:$I$179),0),0)</f>
        <v>0</v>
      </c>
      <c r="X66" s="578">
        <f>IFERROR(IF(VLOOKUP(X$2,MODULY_CBA!$B$3:$L$23,8,0)=$D66,SUMIF('Rozpocet - Vyvoj aplikacii'!$B$3:$B$179,'TCO TO BE- SW'!X$2,'Rozpocet - Vyvoj aplikacii'!$I$3:$I$179),0),0)</f>
        <v>0</v>
      </c>
      <c r="Y66" s="578">
        <f>IFERROR(IF(VLOOKUP(Y$2,MODULY_CBA!$B$3:$L$23,8,0)=$D66,SUMIF('Rozpocet - Vyvoj aplikacii'!$B$3:$B$179,'TCO TO BE- SW'!Y$2,'Rozpocet - Vyvoj aplikacii'!$I$3:$I$179),0),0)</f>
        <v>0</v>
      </c>
      <c r="Z66" s="578">
        <f>IFERROR(IF(VLOOKUP(Z$2,MODULY_CBA!$B$3:$L$23,8,0)=$D66,SUMIF('Rozpocet - Vyvoj aplikacii'!$B$3:$B$179,'TCO TO BE- SW'!Z$2,'Rozpocet - Vyvoj aplikacii'!$I$3:$I$179),0),0)</f>
        <v>0</v>
      </c>
    </row>
    <row r="67" spans="1:26" outlineLevel="2">
      <c r="A67" s="824" t="s">
        <v>75</v>
      </c>
      <c r="B67" s="825" t="s">
        <v>76</v>
      </c>
      <c r="C67" s="825">
        <v>637040</v>
      </c>
      <c r="D67" s="63">
        <v>1</v>
      </c>
      <c r="E67" s="68">
        <f t="shared" si="6"/>
        <v>0</v>
      </c>
      <c r="F67" s="579">
        <v>0</v>
      </c>
      <c r="G67" s="579">
        <v>0</v>
      </c>
      <c r="H67" s="579">
        <v>0</v>
      </c>
      <c r="I67" s="579">
        <v>0</v>
      </c>
      <c r="J67" s="579">
        <v>0</v>
      </c>
      <c r="K67" s="579">
        <v>0</v>
      </c>
      <c r="L67" s="579">
        <v>0</v>
      </c>
      <c r="M67" s="579">
        <v>0</v>
      </c>
      <c r="N67" s="579">
        <v>0</v>
      </c>
      <c r="O67" s="579">
        <v>0</v>
      </c>
      <c r="P67" s="579">
        <v>0</v>
      </c>
      <c r="Q67" s="579">
        <v>0</v>
      </c>
      <c r="R67" s="579">
        <v>0</v>
      </c>
      <c r="S67" s="579">
        <v>0</v>
      </c>
      <c r="T67" s="579">
        <v>0</v>
      </c>
      <c r="U67" s="579">
        <v>0</v>
      </c>
      <c r="V67" s="579">
        <v>0</v>
      </c>
      <c r="W67" s="579">
        <v>0</v>
      </c>
      <c r="X67" s="579">
        <v>0</v>
      </c>
      <c r="Y67" s="579">
        <v>0</v>
      </c>
      <c r="Z67" s="579">
        <v>0</v>
      </c>
    </row>
    <row r="68" spans="1:26" outlineLevel="2">
      <c r="A68" s="824"/>
      <c r="B68" s="825"/>
      <c r="C68" s="825"/>
      <c r="D68" s="64">
        <v>2</v>
      </c>
      <c r="E68" s="68">
        <f t="shared" si="6"/>
        <v>0</v>
      </c>
      <c r="F68" s="580">
        <v>0</v>
      </c>
      <c r="G68" s="580">
        <v>0</v>
      </c>
      <c r="H68" s="580">
        <v>0</v>
      </c>
      <c r="I68" s="580">
        <v>0</v>
      </c>
      <c r="J68" s="580">
        <v>0</v>
      </c>
      <c r="K68" s="580">
        <v>0</v>
      </c>
      <c r="L68" s="580">
        <v>0</v>
      </c>
      <c r="M68" s="580">
        <v>0</v>
      </c>
      <c r="N68" s="580">
        <v>0</v>
      </c>
      <c r="O68" s="580">
        <v>0</v>
      </c>
      <c r="P68" s="580">
        <v>0</v>
      </c>
      <c r="Q68" s="580">
        <v>0</v>
      </c>
      <c r="R68" s="580">
        <v>0</v>
      </c>
      <c r="S68" s="580">
        <v>0</v>
      </c>
      <c r="T68" s="580">
        <v>0</v>
      </c>
      <c r="U68" s="580">
        <v>0</v>
      </c>
      <c r="V68" s="580">
        <v>0</v>
      </c>
      <c r="W68" s="580">
        <v>0</v>
      </c>
      <c r="X68" s="580">
        <v>0</v>
      </c>
      <c r="Y68" s="580">
        <v>0</v>
      </c>
      <c r="Z68" s="580">
        <v>0</v>
      </c>
    </row>
    <row r="69" spans="1:26" outlineLevel="2">
      <c r="A69" s="824"/>
      <c r="B69" s="825"/>
      <c r="C69" s="825"/>
      <c r="D69" s="64">
        <v>3</v>
      </c>
      <c r="E69" s="68">
        <f t="shared" si="6"/>
        <v>0</v>
      </c>
      <c r="F69" s="580">
        <v>0</v>
      </c>
      <c r="G69" s="580">
        <v>0</v>
      </c>
      <c r="H69" s="580">
        <v>0</v>
      </c>
      <c r="I69" s="580">
        <v>0</v>
      </c>
      <c r="J69" s="580">
        <v>0</v>
      </c>
      <c r="K69" s="580">
        <v>0</v>
      </c>
      <c r="L69" s="580">
        <v>0</v>
      </c>
      <c r="M69" s="580">
        <v>0</v>
      </c>
      <c r="N69" s="580">
        <v>0</v>
      </c>
      <c r="O69" s="580">
        <v>0</v>
      </c>
      <c r="P69" s="580">
        <v>0</v>
      </c>
      <c r="Q69" s="580">
        <v>0</v>
      </c>
      <c r="R69" s="580">
        <v>0</v>
      </c>
      <c r="S69" s="580">
        <v>0</v>
      </c>
      <c r="T69" s="580">
        <v>0</v>
      </c>
      <c r="U69" s="580">
        <v>0</v>
      </c>
      <c r="V69" s="580">
        <v>0</v>
      </c>
      <c r="W69" s="580">
        <v>0</v>
      </c>
      <c r="X69" s="580">
        <v>0</v>
      </c>
      <c r="Y69" s="580">
        <v>0</v>
      </c>
      <c r="Z69" s="580">
        <v>0</v>
      </c>
    </row>
    <row r="70" spans="1:26" outlineLevel="2">
      <c r="A70" s="824"/>
      <c r="B70" s="825"/>
      <c r="C70" s="825"/>
      <c r="D70" s="64">
        <v>4</v>
      </c>
      <c r="E70" s="68">
        <f t="shared" si="6"/>
        <v>0</v>
      </c>
      <c r="F70" s="580">
        <v>0</v>
      </c>
      <c r="G70" s="580">
        <v>0</v>
      </c>
      <c r="H70" s="580">
        <v>0</v>
      </c>
      <c r="I70" s="580">
        <v>0</v>
      </c>
      <c r="J70" s="580">
        <v>0</v>
      </c>
      <c r="K70" s="580">
        <v>0</v>
      </c>
      <c r="L70" s="580">
        <v>0</v>
      </c>
      <c r="M70" s="580">
        <v>0</v>
      </c>
      <c r="N70" s="580">
        <v>0</v>
      </c>
      <c r="O70" s="580">
        <v>0</v>
      </c>
      <c r="P70" s="580">
        <v>0</v>
      </c>
      <c r="Q70" s="580">
        <v>0</v>
      </c>
      <c r="R70" s="580">
        <v>0</v>
      </c>
      <c r="S70" s="580">
        <v>0</v>
      </c>
      <c r="T70" s="580">
        <v>0</v>
      </c>
      <c r="U70" s="580">
        <v>0</v>
      </c>
      <c r="V70" s="580">
        <v>0</v>
      </c>
      <c r="W70" s="580">
        <v>0</v>
      </c>
      <c r="X70" s="580">
        <v>0</v>
      </c>
      <c r="Y70" s="580">
        <v>0</v>
      </c>
      <c r="Z70" s="580">
        <v>0</v>
      </c>
    </row>
    <row r="71" spans="1:26" outlineLevel="2">
      <c r="A71" s="824"/>
      <c r="B71" s="825"/>
      <c r="C71" s="825"/>
      <c r="D71" s="64">
        <v>5</v>
      </c>
      <c r="E71" s="68">
        <f t="shared" si="6"/>
        <v>0</v>
      </c>
      <c r="F71" s="580">
        <v>0</v>
      </c>
      <c r="G71" s="580">
        <v>0</v>
      </c>
      <c r="H71" s="580">
        <v>0</v>
      </c>
      <c r="I71" s="580">
        <v>0</v>
      </c>
      <c r="J71" s="580">
        <v>0</v>
      </c>
      <c r="K71" s="580">
        <v>0</v>
      </c>
      <c r="L71" s="580">
        <v>0</v>
      </c>
      <c r="M71" s="580">
        <v>0</v>
      </c>
      <c r="N71" s="580">
        <v>0</v>
      </c>
      <c r="O71" s="580">
        <v>0</v>
      </c>
      <c r="P71" s="580">
        <v>0</v>
      </c>
      <c r="Q71" s="580">
        <v>0</v>
      </c>
      <c r="R71" s="580">
        <v>0</v>
      </c>
      <c r="S71" s="580">
        <v>0</v>
      </c>
      <c r="T71" s="580">
        <v>0</v>
      </c>
      <c r="U71" s="580">
        <v>0</v>
      </c>
      <c r="V71" s="580">
        <v>0</v>
      </c>
      <c r="W71" s="580">
        <v>0</v>
      </c>
      <c r="X71" s="580">
        <v>0</v>
      </c>
      <c r="Y71" s="580">
        <v>0</v>
      </c>
      <c r="Z71" s="580">
        <v>0</v>
      </c>
    </row>
    <row r="72" spans="1:26" outlineLevel="2">
      <c r="A72" s="824"/>
      <c r="B72" s="825"/>
      <c r="C72" s="825"/>
      <c r="D72" s="64">
        <v>6</v>
      </c>
      <c r="E72" s="68">
        <f t="shared" si="6"/>
        <v>0</v>
      </c>
      <c r="F72" s="580">
        <v>0</v>
      </c>
      <c r="G72" s="580">
        <v>0</v>
      </c>
      <c r="H72" s="580">
        <v>0</v>
      </c>
      <c r="I72" s="580">
        <v>0</v>
      </c>
      <c r="J72" s="580">
        <v>0</v>
      </c>
      <c r="K72" s="580">
        <v>0</v>
      </c>
      <c r="L72" s="580">
        <v>0</v>
      </c>
      <c r="M72" s="580">
        <v>0</v>
      </c>
      <c r="N72" s="580">
        <v>0</v>
      </c>
      <c r="O72" s="580">
        <v>0</v>
      </c>
      <c r="P72" s="580">
        <v>0</v>
      </c>
      <c r="Q72" s="580">
        <v>0</v>
      </c>
      <c r="R72" s="580">
        <v>0</v>
      </c>
      <c r="S72" s="580">
        <v>0</v>
      </c>
      <c r="T72" s="580">
        <v>0</v>
      </c>
      <c r="U72" s="580">
        <v>0</v>
      </c>
      <c r="V72" s="580">
        <v>0</v>
      </c>
      <c r="W72" s="580">
        <v>0</v>
      </c>
      <c r="X72" s="580">
        <v>0</v>
      </c>
      <c r="Y72" s="580">
        <v>0</v>
      </c>
      <c r="Z72" s="580">
        <v>0</v>
      </c>
    </row>
    <row r="73" spans="1:26" outlineLevel="2">
      <c r="A73" s="824"/>
      <c r="B73" s="825"/>
      <c r="C73" s="825"/>
      <c r="D73" s="64">
        <v>7</v>
      </c>
      <c r="E73" s="68">
        <f t="shared" si="6"/>
        <v>0</v>
      </c>
      <c r="F73" s="580">
        <v>0</v>
      </c>
      <c r="G73" s="580">
        <v>0</v>
      </c>
      <c r="H73" s="580">
        <v>0</v>
      </c>
      <c r="I73" s="580">
        <v>0</v>
      </c>
      <c r="J73" s="580">
        <v>0</v>
      </c>
      <c r="K73" s="580">
        <v>0</v>
      </c>
      <c r="L73" s="580">
        <v>0</v>
      </c>
      <c r="M73" s="580">
        <v>0</v>
      </c>
      <c r="N73" s="580">
        <v>0</v>
      </c>
      <c r="O73" s="580">
        <v>0</v>
      </c>
      <c r="P73" s="580">
        <v>0</v>
      </c>
      <c r="Q73" s="580">
        <v>0</v>
      </c>
      <c r="R73" s="580">
        <v>0</v>
      </c>
      <c r="S73" s="580">
        <v>0</v>
      </c>
      <c r="T73" s="580">
        <v>0</v>
      </c>
      <c r="U73" s="580">
        <v>0</v>
      </c>
      <c r="V73" s="580">
        <v>0</v>
      </c>
      <c r="W73" s="580">
        <v>0</v>
      </c>
      <c r="X73" s="580">
        <v>0</v>
      </c>
      <c r="Y73" s="580">
        <v>0</v>
      </c>
      <c r="Z73" s="580">
        <v>0</v>
      </c>
    </row>
    <row r="74" spans="1:26" outlineLevel="2">
      <c r="A74" s="824"/>
      <c r="B74" s="825"/>
      <c r="C74" s="825"/>
      <c r="D74" s="64">
        <v>8</v>
      </c>
      <c r="E74" s="68">
        <f t="shared" si="6"/>
        <v>0</v>
      </c>
      <c r="F74" s="580">
        <v>0</v>
      </c>
      <c r="G74" s="580">
        <v>0</v>
      </c>
      <c r="H74" s="580">
        <v>0</v>
      </c>
      <c r="I74" s="580">
        <v>0</v>
      </c>
      <c r="J74" s="580">
        <v>0</v>
      </c>
      <c r="K74" s="580">
        <v>0</v>
      </c>
      <c r="L74" s="580">
        <v>0</v>
      </c>
      <c r="M74" s="580">
        <v>0</v>
      </c>
      <c r="N74" s="580">
        <v>0</v>
      </c>
      <c r="O74" s="580">
        <v>0</v>
      </c>
      <c r="P74" s="580">
        <v>0</v>
      </c>
      <c r="Q74" s="580">
        <v>0</v>
      </c>
      <c r="R74" s="580">
        <v>0</v>
      </c>
      <c r="S74" s="580">
        <v>0</v>
      </c>
      <c r="T74" s="580">
        <v>0</v>
      </c>
      <c r="U74" s="580">
        <v>0</v>
      </c>
      <c r="V74" s="580">
        <v>0</v>
      </c>
      <c r="W74" s="580">
        <v>0</v>
      </c>
      <c r="X74" s="580">
        <v>0</v>
      </c>
      <c r="Y74" s="580">
        <v>0</v>
      </c>
      <c r="Z74" s="580">
        <v>0</v>
      </c>
    </row>
    <row r="75" spans="1:26" outlineLevel="2">
      <c r="A75" s="824"/>
      <c r="B75" s="825"/>
      <c r="C75" s="825"/>
      <c r="D75" s="64">
        <v>9</v>
      </c>
      <c r="E75" s="68">
        <f t="shared" si="6"/>
        <v>0</v>
      </c>
      <c r="F75" s="580">
        <v>0</v>
      </c>
      <c r="G75" s="580">
        <v>0</v>
      </c>
      <c r="H75" s="580">
        <v>0</v>
      </c>
      <c r="I75" s="580">
        <v>0</v>
      </c>
      <c r="J75" s="580">
        <v>0</v>
      </c>
      <c r="K75" s="580">
        <v>0</v>
      </c>
      <c r="L75" s="580">
        <v>0</v>
      </c>
      <c r="M75" s="580">
        <v>0</v>
      </c>
      <c r="N75" s="580">
        <v>0</v>
      </c>
      <c r="O75" s="580">
        <v>0</v>
      </c>
      <c r="P75" s="580">
        <v>0</v>
      </c>
      <c r="Q75" s="580">
        <v>0</v>
      </c>
      <c r="R75" s="580">
        <v>0</v>
      </c>
      <c r="S75" s="580">
        <v>0</v>
      </c>
      <c r="T75" s="580">
        <v>0</v>
      </c>
      <c r="U75" s="580">
        <v>0</v>
      </c>
      <c r="V75" s="580">
        <v>0</v>
      </c>
      <c r="W75" s="580">
        <v>0</v>
      </c>
      <c r="X75" s="580">
        <v>0</v>
      </c>
      <c r="Y75" s="580">
        <v>0</v>
      </c>
      <c r="Z75" s="580">
        <v>0</v>
      </c>
    </row>
    <row r="76" spans="1:26" ht="15.75" outlineLevel="2" thickBot="1">
      <c r="A76" s="824"/>
      <c r="B76" s="825"/>
      <c r="C76" s="825"/>
      <c r="D76" s="65">
        <v>10</v>
      </c>
      <c r="E76" s="69">
        <f t="shared" si="6"/>
        <v>0</v>
      </c>
      <c r="F76" s="584">
        <v>0</v>
      </c>
      <c r="G76" s="584">
        <v>0</v>
      </c>
      <c r="H76" s="584">
        <v>0</v>
      </c>
      <c r="I76" s="584">
        <v>0</v>
      </c>
      <c r="J76" s="584">
        <v>0</v>
      </c>
      <c r="K76" s="584">
        <v>0</v>
      </c>
      <c r="L76" s="584">
        <v>0</v>
      </c>
      <c r="M76" s="584">
        <v>0</v>
      </c>
      <c r="N76" s="584">
        <v>0</v>
      </c>
      <c r="O76" s="584">
        <v>0</v>
      </c>
      <c r="P76" s="584">
        <v>0</v>
      </c>
      <c r="Q76" s="584">
        <v>0</v>
      </c>
      <c r="R76" s="584">
        <v>0</v>
      </c>
      <c r="S76" s="584">
        <v>0</v>
      </c>
      <c r="T76" s="584">
        <v>0</v>
      </c>
      <c r="U76" s="584">
        <v>0</v>
      </c>
      <c r="V76" s="584">
        <v>0</v>
      </c>
      <c r="W76" s="584">
        <v>0</v>
      </c>
      <c r="X76" s="584">
        <v>0</v>
      </c>
      <c r="Y76" s="584">
        <v>0</v>
      </c>
      <c r="Z76" s="584">
        <v>0</v>
      </c>
    </row>
    <row r="77" spans="1:26" ht="15.75" thickBot="1">
      <c r="A77" s="831" t="s">
        <v>77</v>
      </c>
      <c r="B77" s="832"/>
      <c r="C77" s="832"/>
      <c r="D77" s="75"/>
      <c r="E77" s="72">
        <f t="shared" ref="E77:F77" si="8">E78+E99</f>
        <v>13168544.800000001</v>
      </c>
      <c r="F77" s="73">
        <f t="shared" si="8"/>
        <v>12034544.800000001</v>
      </c>
      <c r="G77" s="73">
        <f t="shared" ref="G77:Z77" si="9">G78+G99</f>
        <v>1050000</v>
      </c>
      <c r="H77" s="73">
        <f t="shared" si="9"/>
        <v>0</v>
      </c>
      <c r="I77" s="73">
        <f t="shared" si="9"/>
        <v>84000</v>
      </c>
      <c r="J77" s="73">
        <f t="shared" si="9"/>
        <v>0</v>
      </c>
      <c r="K77" s="73">
        <f t="shared" si="9"/>
        <v>0</v>
      </c>
      <c r="L77" s="73">
        <f t="shared" si="9"/>
        <v>0</v>
      </c>
      <c r="M77" s="73">
        <f t="shared" si="9"/>
        <v>0</v>
      </c>
      <c r="N77" s="73">
        <f t="shared" si="9"/>
        <v>0</v>
      </c>
      <c r="O77" s="73">
        <f t="shared" si="9"/>
        <v>0</v>
      </c>
      <c r="P77" s="73">
        <f t="shared" si="9"/>
        <v>0</v>
      </c>
      <c r="Q77" s="73">
        <f t="shared" si="9"/>
        <v>0</v>
      </c>
      <c r="R77" s="73">
        <f t="shared" si="9"/>
        <v>0</v>
      </c>
      <c r="S77" s="73">
        <f t="shared" si="9"/>
        <v>0</v>
      </c>
      <c r="T77" s="73">
        <f t="shared" si="9"/>
        <v>0</v>
      </c>
      <c r="U77" s="73">
        <f t="shared" si="9"/>
        <v>0</v>
      </c>
      <c r="V77" s="73">
        <f t="shared" si="9"/>
        <v>0</v>
      </c>
      <c r="W77" s="73">
        <f t="shared" si="9"/>
        <v>0</v>
      </c>
      <c r="X77" s="73">
        <f t="shared" si="9"/>
        <v>0</v>
      </c>
      <c r="Y77" s="73">
        <f t="shared" si="9"/>
        <v>0</v>
      </c>
      <c r="Z77" s="73">
        <f t="shared" si="9"/>
        <v>0</v>
      </c>
    </row>
    <row r="78" spans="1:26" ht="15.75" outlineLevel="1" thickBot="1">
      <c r="A78" s="17" t="s">
        <v>103</v>
      </c>
      <c r="B78" s="17"/>
      <c r="C78" s="17"/>
      <c r="D78" s="27"/>
      <c r="E78" s="108">
        <f t="shared" ref="E78:F78" si="10">SUM(E79:E98)</f>
        <v>11279144.800000001</v>
      </c>
      <c r="F78" s="109">
        <f t="shared" si="10"/>
        <v>10145144.800000001</v>
      </c>
      <c r="G78" s="109">
        <f t="shared" ref="G78:Z78" si="11">SUM(G79:G98)</f>
        <v>1050000</v>
      </c>
      <c r="H78" s="109">
        <f t="shared" si="11"/>
        <v>0</v>
      </c>
      <c r="I78" s="109">
        <f t="shared" si="11"/>
        <v>84000</v>
      </c>
      <c r="J78" s="109">
        <f t="shared" si="11"/>
        <v>0</v>
      </c>
      <c r="K78" s="109">
        <f t="shared" si="11"/>
        <v>0</v>
      </c>
      <c r="L78" s="109">
        <f t="shared" si="11"/>
        <v>0</v>
      </c>
      <c r="M78" s="109">
        <f t="shared" si="11"/>
        <v>0</v>
      </c>
      <c r="N78" s="109">
        <f t="shared" si="11"/>
        <v>0</v>
      </c>
      <c r="O78" s="109">
        <f t="shared" si="11"/>
        <v>0</v>
      </c>
      <c r="P78" s="109">
        <f t="shared" si="11"/>
        <v>0</v>
      </c>
      <c r="Q78" s="109">
        <f t="shared" si="11"/>
        <v>0</v>
      </c>
      <c r="R78" s="109">
        <f t="shared" si="11"/>
        <v>0</v>
      </c>
      <c r="S78" s="109">
        <f t="shared" si="11"/>
        <v>0</v>
      </c>
      <c r="T78" s="109">
        <f t="shared" si="11"/>
        <v>0</v>
      </c>
      <c r="U78" s="109">
        <f t="shared" si="11"/>
        <v>0</v>
      </c>
      <c r="V78" s="109">
        <f t="shared" si="11"/>
        <v>0</v>
      </c>
      <c r="W78" s="109">
        <f t="shared" si="11"/>
        <v>0</v>
      </c>
      <c r="X78" s="109">
        <f t="shared" si="11"/>
        <v>0</v>
      </c>
      <c r="Y78" s="109">
        <f t="shared" si="11"/>
        <v>0</v>
      </c>
      <c r="Z78" s="109">
        <f t="shared" si="11"/>
        <v>0</v>
      </c>
    </row>
    <row r="79" spans="1:26" outlineLevel="2">
      <c r="A79" s="824" t="s">
        <v>78</v>
      </c>
      <c r="B79" s="825" t="s">
        <v>79</v>
      </c>
      <c r="C79" s="825">
        <v>635009</v>
      </c>
      <c r="D79" s="63">
        <v>1</v>
      </c>
      <c r="E79" s="60">
        <f t="shared" ref="E79:E98" si="12">SUM(F79:Z79)</f>
        <v>0</v>
      </c>
      <c r="F79" s="585">
        <f>IFERROR(IF(VLOOKUP(F$2,MODULY_CBA!$B$3:$N$23,13,0)&lt;='TCO TO BE- SW'!$D79,SUM('TCO TO BE- SW'!F$6:F$15)*VLOOKUP('TCO TO BE- SW'!F$2,MODULY_CBA!$B$3:$M$23,12,0),0),0)</f>
        <v>0</v>
      </c>
      <c r="G79" s="585">
        <f>IFERROR(IF(VLOOKUP(G$2,MODULY_CBA!$B$3:$N$23,13,0)&lt;='TCO TO BE- SW'!$D79,SUM('TCO TO BE- SW'!G$6:G$15)*VLOOKUP('TCO TO BE- SW'!G$2,MODULY_CBA!$B$3:$M$23,12,0),0),0)</f>
        <v>0</v>
      </c>
      <c r="H79" s="585">
        <f>IFERROR(IF(VLOOKUP(H$2,MODULY_CBA!$B$3:$N$23,13,0)&lt;='TCO TO BE- SW'!$D79,SUM('TCO TO BE- SW'!H$6:H$15)*VLOOKUP('TCO TO BE- SW'!H$2,MODULY_CBA!$B$3:$M$23,12,0),0),0)</f>
        <v>0</v>
      </c>
      <c r="I79" s="585">
        <f>IFERROR(IF(VLOOKUP(I$2,MODULY_CBA!$B$3:$N$23,13,0)&lt;='TCO TO BE- SW'!$D79,SUM('TCO TO BE- SW'!I$6:I$15)*VLOOKUP('TCO TO BE- SW'!I$2,MODULY_CBA!$B$3:$M$23,12,0),0),0)</f>
        <v>0</v>
      </c>
      <c r="J79" s="585">
        <f>IFERROR(IF(VLOOKUP(J$2,MODULY_CBA!$B$3:$N$23,13,0)&lt;='TCO TO BE- SW'!$D79,SUM('TCO TO BE- SW'!J$6:J$15)*VLOOKUP('TCO TO BE- SW'!J$2,MODULY_CBA!$B$3:$M$23,12,0),0),0)</f>
        <v>0</v>
      </c>
      <c r="K79" s="585">
        <f>IFERROR(IF(VLOOKUP(K$2,MODULY_CBA!$B$3:$N$23,13,0)&lt;='TCO TO BE- SW'!$D79,SUM('TCO TO BE- SW'!K$6:K$15)*VLOOKUP('TCO TO BE- SW'!K$2,MODULY_CBA!$B$3:$M$23,12,0),0),0)</f>
        <v>0</v>
      </c>
      <c r="L79" s="585">
        <f>IFERROR(IF(VLOOKUP(L$2,MODULY_CBA!$B$3:$N$23,13,0)&lt;='TCO TO BE- SW'!$D79,SUM('TCO TO BE- SW'!L$6:L$15)*VLOOKUP('TCO TO BE- SW'!L$2,MODULY_CBA!$B$3:$M$23,12,0),0),0)</f>
        <v>0</v>
      </c>
      <c r="M79" s="585">
        <f>IFERROR(IF(VLOOKUP(M$2,MODULY_CBA!$B$3:$N$23,13,0)&lt;='TCO TO BE- SW'!$D79,SUM('TCO TO BE- SW'!M$6:M$15)*VLOOKUP('TCO TO BE- SW'!M$2,MODULY_CBA!$B$3:$M$23,12,0),0),0)</f>
        <v>0</v>
      </c>
      <c r="N79" s="585">
        <f>IFERROR(IF(VLOOKUP(N$2,MODULY_CBA!$B$3:$N$23,13,0)&lt;='TCO TO BE- SW'!$D79,SUM('TCO TO BE- SW'!N$6:N$15)*VLOOKUP('TCO TO BE- SW'!N$2,MODULY_CBA!$B$3:$M$23,12,0),0),0)</f>
        <v>0</v>
      </c>
      <c r="O79" s="585">
        <f>IFERROR(IF(VLOOKUP(O$2,MODULY_CBA!$B$3:$N$23,13,0)&lt;='TCO TO BE- SW'!$D79,SUM('TCO TO BE- SW'!O$6:O$15)*VLOOKUP('TCO TO BE- SW'!O$2,MODULY_CBA!$B$3:$M$23,12,0),0),0)</f>
        <v>0</v>
      </c>
      <c r="P79" s="585">
        <f>IFERROR(IF(VLOOKUP(P$2,MODULY_CBA!$B$3:$N$23,13,0)&lt;='TCO TO BE- SW'!$D79,SUM('TCO TO BE- SW'!P$6:P$15)*VLOOKUP('TCO TO BE- SW'!P$2,MODULY_CBA!$B$3:$M$23,12,0),0),0)</f>
        <v>0</v>
      </c>
      <c r="Q79" s="585">
        <f>IFERROR(IF(VLOOKUP(Q$2,MODULY_CBA!$B$3:$N$23,13,0)&lt;='TCO TO BE- SW'!$D79,SUM('TCO TO BE- SW'!Q$6:Q$15)*VLOOKUP('TCO TO BE- SW'!Q$2,MODULY_CBA!$B$3:$M$23,12,0),0),0)</f>
        <v>0</v>
      </c>
      <c r="R79" s="585">
        <f>IFERROR(IF(VLOOKUP(R$2,MODULY_CBA!$B$3:$N$23,13,0)&lt;='TCO TO BE- SW'!$D79,SUM('TCO TO BE- SW'!R$6:R$15)*VLOOKUP('TCO TO BE- SW'!R$2,MODULY_CBA!$B$3:$M$23,12,0),0),0)</f>
        <v>0</v>
      </c>
      <c r="S79" s="585">
        <f>IFERROR(IF(VLOOKUP(S$2,MODULY_CBA!$B$3:$N$23,13,0)&lt;='TCO TO BE- SW'!$D79,SUM('TCO TO BE- SW'!S$6:S$15)*VLOOKUP('TCO TO BE- SW'!S$2,MODULY_CBA!$B$3:$M$23,12,0),0),0)</f>
        <v>0</v>
      </c>
      <c r="T79" s="585">
        <f>IFERROR(IF(VLOOKUP(T$2,MODULY_CBA!$B$3:$N$23,13,0)&lt;='TCO TO BE- SW'!$D79,SUM('TCO TO BE- SW'!T$6:T$15)*VLOOKUP('TCO TO BE- SW'!T$2,MODULY_CBA!$B$3:$M$23,12,0),0),0)</f>
        <v>0</v>
      </c>
      <c r="U79" s="585">
        <f>IFERROR(IF(VLOOKUP(U$2,MODULY_CBA!$B$3:$N$23,13,0)&lt;='TCO TO BE- SW'!$D79,SUM('TCO TO BE- SW'!U$6:U$15)*VLOOKUP('TCO TO BE- SW'!U$2,MODULY_CBA!$B$3:$M$23,12,0),0),0)</f>
        <v>0</v>
      </c>
      <c r="V79" s="585">
        <f>IFERROR(IF(VLOOKUP(V$2,MODULY_CBA!$B$3:$N$23,13,0)&lt;='TCO TO BE- SW'!$D79,SUM('TCO TO BE- SW'!V$6:V$15)*VLOOKUP('TCO TO BE- SW'!V$2,MODULY_CBA!$B$3:$M$23,12,0),0),0)</f>
        <v>0</v>
      </c>
      <c r="W79" s="585">
        <f>IFERROR(IF(VLOOKUP(W$2,MODULY_CBA!$B$3:$N$23,13,0)&lt;='TCO TO BE- SW'!$D79,SUM('TCO TO BE- SW'!W$6:W$15)*VLOOKUP('TCO TO BE- SW'!W$2,MODULY_CBA!$B$3:$M$23,12,0),0),0)</f>
        <v>0</v>
      </c>
      <c r="X79" s="585">
        <f>IFERROR(IF(VLOOKUP(X$2,MODULY_CBA!$B$3:$N$23,13,0)&lt;='TCO TO BE- SW'!$D79,SUM('TCO TO BE- SW'!X$6:X$15)*VLOOKUP('TCO TO BE- SW'!X$2,MODULY_CBA!$B$3:$M$23,12,0),0),0)</f>
        <v>0</v>
      </c>
      <c r="Y79" s="585">
        <f>IFERROR(IF(VLOOKUP(Y$2,MODULY_CBA!$B$3:$N$23,13,0)&lt;='TCO TO BE- SW'!$D79,SUM('TCO TO BE- SW'!Y$6:Y$15)*VLOOKUP('TCO TO BE- SW'!Y$2,MODULY_CBA!$B$3:$M$23,12,0),0),0)</f>
        <v>0</v>
      </c>
      <c r="Z79" s="585">
        <f>IFERROR(IF(VLOOKUP(Z$2,MODULY_CBA!$B$3:$N$23,13,0)&lt;='TCO TO BE- SW'!$D79,SUM('TCO TO BE- SW'!Z$6:Z$15)*VLOOKUP('TCO TO BE- SW'!Z$2,MODULY_CBA!$B$3:$M$23,12,0),0),0)</f>
        <v>0</v>
      </c>
    </row>
    <row r="80" spans="1:26" outlineLevel="2">
      <c r="A80" s="824"/>
      <c r="B80" s="825"/>
      <c r="C80" s="825"/>
      <c r="D80" s="64">
        <v>2</v>
      </c>
      <c r="E80" s="61">
        <f t="shared" si="12"/>
        <v>0</v>
      </c>
      <c r="F80" s="586">
        <f>IFERROR(IF(VLOOKUP(F$2,MODULY_CBA!$B$3:$N$23,13,0)&lt;='TCO TO BE- SW'!$D80,SUM('TCO TO BE- SW'!F$6:F$15)*VLOOKUP('TCO TO BE- SW'!F$2,MODULY_CBA!$B$3:$M$23,12,0),0),0)</f>
        <v>0</v>
      </c>
      <c r="G80" s="586">
        <f>IFERROR(IF(VLOOKUP(G$2,MODULY_CBA!$B$3:$N$23,13,0)&lt;='TCO TO BE- SW'!$D80,SUM('TCO TO BE- SW'!G$6:G$15)*VLOOKUP('TCO TO BE- SW'!G$2,MODULY_CBA!$B$3:$M$23,12,0),0),0)</f>
        <v>0</v>
      </c>
      <c r="H80" s="586">
        <f>IFERROR(IF(VLOOKUP(H$2,MODULY_CBA!$B$3:$N$23,13,0)&lt;='TCO TO BE- SW'!$D80,SUM('TCO TO BE- SW'!H$6:H$15)*VLOOKUP('TCO TO BE- SW'!H$2,MODULY_CBA!$B$3:$M$23,12,0),0),0)</f>
        <v>0</v>
      </c>
      <c r="I80" s="586">
        <f>IFERROR(IF(VLOOKUP(I$2,MODULY_CBA!$B$3:$N$23,13,0)&lt;='TCO TO BE- SW'!$D80,SUM('TCO TO BE- SW'!I$6:I$15)*VLOOKUP('TCO TO BE- SW'!I$2,MODULY_CBA!$B$3:$M$23,12,0),0),0)</f>
        <v>0</v>
      </c>
      <c r="J80" s="586">
        <f>IFERROR(IF(VLOOKUP(J$2,MODULY_CBA!$B$3:$N$23,13,0)&lt;='TCO TO BE- SW'!$D80,SUM('TCO TO BE- SW'!J$6:J$15)*VLOOKUP('TCO TO BE- SW'!J$2,MODULY_CBA!$B$3:$M$23,12,0),0),0)</f>
        <v>0</v>
      </c>
      <c r="K80" s="586">
        <f>IFERROR(IF(VLOOKUP(K$2,MODULY_CBA!$B$3:$N$23,13,0)&lt;='TCO TO BE- SW'!$D80,SUM('TCO TO BE- SW'!K$6:K$15)*VLOOKUP('TCO TO BE- SW'!K$2,MODULY_CBA!$B$3:$M$23,12,0),0),0)</f>
        <v>0</v>
      </c>
      <c r="L80" s="586">
        <f>IFERROR(IF(VLOOKUP(L$2,MODULY_CBA!$B$3:$N$23,13,0)&lt;='TCO TO BE- SW'!$D80,SUM('TCO TO BE- SW'!L$6:L$15)*VLOOKUP('TCO TO BE- SW'!L$2,MODULY_CBA!$B$3:$M$23,12,0),0),0)</f>
        <v>0</v>
      </c>
      <c r="M80" s="586">
        <f>IFERROR(IF(VLOOKUP(M$2,MODULY_CBA!$B$3:$N$23,13,0)&lt;='TCO TO BE- SW'!$D80,SUM('TCO TO BE- SW'!M$6:M$15)*VLOOKUP('TCO TO BE- SW'!M$2,MODULY_CBA!$B$3:$M$23,12,0),0),0)</f>
        <v>0</v>
      </c>
      <c r="N80" s="586">
        <f>IFERROR(IF(VLOOKUP(N$2,MODULY_CBA!$B$3:$N$23,13,0)&lt;='TCO TO BE- SW'!$D80,SUM('TCO TO BE- SW'!N$6:N$15)*VLOOKUP('TCO TO BE- SW'!N$2,MODULY_CBA!$B$3:$M$23,12,0),0),0)</f>
        <v>0</v>
      </c>
      <c r="O80" s="586">
        <f>IFERROR(IF(VLOOKUP(O$2,MODULY_CBA!$B$3:$N$23,13,0)&lt;='TCO TO BE- SW'!$D80,SUM('TCO TO BE- SW'!O$6:O$15)*VLOOKUP('TCO TO BE- SW'!O$2,MODULY_CBA!$B$3:$M$23,12,0),0),0)</f>
        <v>0</v>
      </c>
      <c r="P80" s="586">
        <f>IFERROR(IF(VLOOKUP(P$2,MODULY_CBA!$B$3:$N$23,13,0)&lt;='TCO TO BE- SW'!$D80,SUM('TCO TO BE- SW'!P$6:P$15)*VLOOKUP('TCO TO BE- SW'!P$2,MODULY_CBA!$B$3:$M$23,12,0),0),0)</f>
        <v>0</v>
      </c>
      <c r="Q80" s="586">
        <f>IFERROR(IF(VLOOKUP(Q$2,MODULY_CBA!$B$3:$N$23,13,0)&lt;='TCO TO BE- SW'!$D80,SUM('TCO TO BE- SW'!Q$6:Q$15)*VLOOKUP('TCO TO BE- SW'!Q$2,MODULY_CBA!$B$3:$M$23,12,0),0),0)</f>
        <v>0</v>
      </c>
      <c r="R80" s="586">
        <f>IFERROR(IF(VLOOKUP(R$2,MODULY_CBA!$B$3:$N$23,13,0)&lt;='TCO TO BE- SW'!$D80,SUM('TCO TO BE- SW'!R$6:R$15)*VLOOKUP('TCO TO BE- SW'!R$2,MODULY_CBA!$B$3:$M$23,12,0),0),0)</f>
        <v>0</v>
      </c>
      <c r="S80" s="586">
        <f>IFERROR(IF(VLOOKUP(S$2,MODULY_CBA!$B$3:$N$23,13,0)&lt;='TCO TO BE- SW'!$D80,SUM('TCO TO BE- SW'!S$6:S$15)*VLOOKUP('TCO TO BE- SW'!S$2,MODULY_CBA!$B$3:$M$23,12,0),0),0)</f>
        <v>0</v>
      </c>
      <c r="T80" s="586">
        <f>IFERROR(IF(VLOOKUP(T$2,MODULY_CBA!$B$3:$N$23,13,0)&lt;='TCO TO BE- SW'!$D80,SUM('TCO TO BE- SW'!T$6:T$15)*VLOOKUP('TCO TO BE- SW'!T$2,MODULY_CBA!$B$3:$M$23,12,0),0),0)</f>
        <v>0</v>
      </c>
      <c r="U80" s="586">
        <f>IFERROR(IF(VLOOKUP(U$2,MODULY_CBA!$B$3:$N$23,13,0)&lt;='TCO TO BE- SW'!$D80,SUM('TCO TO BE- SW'!U$6:U$15)*VLOOKUP('TCO TO BE- SW'!U$2,MODULY_CBA!$B$3:$M$23,12,0),0),0)</f>
        <v>0</v>
      </c>
      <c r="V80" s="586">
        <f>IFERROR(IF(VLOOKUP(V$2,MODULY_CBA!$B$3:$N$23,13,0)&lt;='TCO TO BE- SW'!$D80,SUM('TCO TO BE- SW'!V$6:V$15)*VLOOKUP('TCO TO BE- SW'!V$2,MODULY_CBA!$B$3:$M$23,12,0),0),0)</f>
        <v>0</v>
      </c>
      <c r="W80" s="586">
        <f>IFERROR(IF(VLOOKUP(W$2,MODULY_CBA!$B$3:$N$23,13,0)&lt;='TCO TO BE- SW'!$D80,SUM('TCO TO BE- SW'!W$6:W$15)*VLOOKUP('TCO TO BE- SW'!W$2,MODULY_CBA!$B$3:$M$23,12,0),0),0)</f>
        <v>0</v>
      </c>
      <c r="X80" s="586">
        <f>IFERROR(IF(VLOOKUP(X$2,MODULY_CBA!$B$3:$N$23,13,0)&lt;='TCO TO BE- SW'!$D80,SUM('TCO TO BE- SW'!X$6:X$15)*VLOOKUP('TCO TO BE- SW'!X$2,MODULY_CBA!$B$3:$M$23,12,0),0),0)</f>
        <v>0</v>
      </c>
      <c r="Y80" s="586">
        <f>IFERROR(IF(VLOOKUP(Y$2,MODULY_CBA!$B$3:$N$23,13,0)&lt;='TCO TO BE- SW'!$D80,SUM('TCO TO BE- SW'!Y$6:Y$15)*VLOOKUP('TCO TO BE- SW'!Y$2,MODULY_CBA!$B$3:$M$23,12,0),0),0)</f>
        <v>0</v>
      </c>
      <c r="Z80" s="586">
        <f>IFERROR(IF(VLOOKUP(Z$2,MODULY_CBA!$B$3:$N$23,13,0)&lt;='TCO TO BE- SW'!$D80,SUM('TCO TO BE- SW'!Z$6:Z$15)*VLOOKUP('TCO TO BE- SW'!Z$2,MODULY_CBA!$B$3:$M$23,12,0),0),0)</f>
        <v>0</v>
      </c>
    </row>
    <row r="81" spans="1:26" outlineLevel="2">
      <c r="A81" s="824"/>
      <c r="B81" s="825"/>
      <c r="C81" s="825"/>
      <c r="D81" s="64">
        <v>3</v>
      </c>
      <c r="E81" s="61">
        <f t="shared" si="12"/>
        <v>0</v>
      </c>
      <c r="F81" s="586">
        <f>IFERROR(IF(VLOOKUP(F$2,MODULY_CBA!$B$3:$N$23,13,0)&lt;='TCO TO BE- SW'!$D81,SUM('TCO TO BE- SW'!F$6:F$15)*VLOOKUP('TCO TO BE- SW'!F$2,MODULY_CBA!$B$3:$M$23,12,0),0),0)</f>
        <v>0</v>
      </c>
      <c r="G81" s="587">
        <f>IFERROR(IF(VLOOKUP(G$2,MODULY_CBA!$B$3:$N$23,13,0)&lt;='TCO TO BE- SW'!$D81,SUM('TCO TO BE- SW'!G$6:G$15)*VLOOKUP('TCO TO BE- SW'!G$2,MODULY_CBA!$B$3:$M$23,12,0),0),0)</f>
        <v>0</v>
      </c>
      <c r="H81" s="587">
        <f>IFERROR(IF(VLOOKUP(H$2,MODULY_CBA!$B$3:$N$23,13,0)&lt;='TCO TO BE- SW'!$D81,SUM('TCO TO BE- SW'!H$6:H$15)*VLOOKUP('TCO TO BE- SW'!H$2,MODULY_CBA!$B$3:$M$23,12,0),0),0)</f>
        <v>0</v>
      </c>
      <c r="I81" s="587">
        <f>IFERROR(IF(VLOOKUP(I$2,MODULY_CBA!$B$3:$N$23,13,0)&lt;='TCO TO BE- SW'!$D81,SUM('TCO TO BE- SW'!I$6:I$15)*VLOOKUP('TCO TO BE- SW'!I$2,MODULY_CBA!$B$3:$M$23,12,0),0),0)</f>
        <v>0</v>
      </c>
      <c r="J81" s="587">
        <f>IFERROR(IF(VLOOKUP(J$2,MODULY_CBA!$B$3:$N$23,13,0)&lt;='TCO TO BE- SW'!$D81,SUM('TCO TO BE- SW'!J$6:J$15)*VLOOKUP('TCO TO BE- SW'!J$2,MODULY_CBA!$B$3:$M$23,12,0),0),0)</f>
        <v>0</v>
      </c>
      <c r="K81" s="587">
        <f>IFERROR(IF(VLOOKUP(K$2,MODULY_CBA!$B$3:$N$23,13,0)&lt;='TCO TO BE- SW'!$D81,SUM('TCO TO BE- SW'!K$6:K$15)*VLOOKUP('TCO TO BE- SW'!K$2,MODULY_CBA!$B$3:$M$23,12,0),0),0)</f>
        <v>0</v>
      </c>
      <c r="L81" s="587">
        <f>IFERROR(IF(VLOOKUP(L$2,MODULY_CBA!$B$3:$N$23,13,0)&lt;='TCO TO BE- SW'!$D81,SUM('TCO TO BE- SW'!L$6:L$15)*VLOOKUP('TCO TO BE- SW'!L$2,MODULY_CBA!$B$3:$M$23,12,0),0),0)</f>
        <v>0</v>
      </c>
      <c r="M81" s="587">
        <f>IFERROR(IF(VLOOKUP(M$2,MODULY_CBA!$B$3:$N$23,13,0)&lt;='TCO TO BE- SW'!$D81,SUM('TCO TO BE- SW'!M$6:M$15)*VLOOKUP('TCO TO BE- SW'!M$2,MODULY_CBA!$B$3:$M$23,12,0),0),0)</f>
        <v>0</v>
      </c>
      <c r="N81" s="587">
        <f>IFERROR(IF(VLOOKUP(N$2,MODULY_CBA!$B$3:$N$23,13,0)&lt;='TCO TO BE- SW'!$D81,SUM('TCO TO BE- SW'!N$6:N$15)*VLOOKUP('TCO TO BE- SW'!N$2,MODULY_CBA!$B$3:$M$23,12,0),0),0)</f>
        <v>0</v>
      </c>
      <c r="O81" s="587">
        <f>IFERROR(IF(VLOOKUP(O$2,MODULY_CBA!$B$3:$N$23,13,0)&lt;='TCO TO BE- SW'!$D81,SUM('TCO TO BE- SW'!O$6:O$15)*VLOOKUP('TCO TO BE- SW'!O$2,MODULY_CBA!$B$3:$M$23,12,0),0),0)</f>
        <v>0</v>
      </c>
      <c r="P81" s="587">
        <f>IFERROR(IF(VLOOKUP(P$2,MODULY_CBA!$B$3:$N$23,13,0)&lt;='TCO TO BE- SW'!$D81,SUM('TCO TO BE- SW'!P$6:P$15)*VLOOKUP('TCO TO BE- SW'!P$2,MODULY_CBA!$B$3:$M$23,12,0),0),0)</f>
        <v>0</v>
      </c>
      <c r="Q81" s="587">
        <f>IFERROR(IF(VLOOKUP(Q$2,MODULY_CBA!$B$3:$N$23,13,0)&lt;='TCO TO BE- SW'!$D81,SUM('TCO TO BE- SW'!Q$6:Q$15)*VLOOKUP('TCO TO BE- SW'!Q$2,MODULY_CBA!$B$3:$M$23,12,0),0),0)</f>
        <v>0</v>
      </c>
      <c r="R81" s="587">
        <f>IFERROR(IF(VLOOKUP(R$2,MODULY_CBA!$B$3:$N$23,13,0)&lt;='TCO TO BE- SW'!$D81,SUM('TCO TO BE- SW'!R$6:R$15)*VLOOKUP('TCO TO BE- SW'!R$2,MODULY_CBA!$B$3:$M$23,12,0),0),0)</f>
        <v>0</v>
      </c>
      <c r="S81" s="587">
        <f>IFERROR(IF(VLOOKUP(S$2,MODULY_CBA!$B$3:$N$23,13,0)&lt;='TCO TO BE- SW'!$D81,SUM('TCO TO BE- SW'!S$6:S$15)*VLOOKUP('TCO TO BE- SW'!S$2,MODULY_CBA!$B$3:$M$23,12,0),0),0)</f>
        <v>0</v>
      </c>
      <c r="T81" s="587">
        <f>IFERROR(IF(VLOOKUP(T$2,MODULY_CBA!$B$3:$N$23,13,0)&lt;='TCO TO BE- SW'!$D81,SUM('TCO TO BE- SW'!T$6:T$15)*VLOOKUP('TCO TO BE- SW'!T$2,MODULY_CBA!$B$3:$M$23,12,0),0),0)</f>
        <v>0</v>
      </c>
      <c r="U81" s="587">
        <f>IFERROR(IF(VLOOKUP(U$2,MODULY_CBA!$B$3:$N$23,13,0)&lt;='TCO TO BE- SW'!$D81,SUM('TCO TO BE- SW'!U$6:U$15)*VLOOKUP('TCO TO BE- SW'!U$2,MODULY_CBA!$B$3:$M$23,12,0),0),0)</f>
        <v>0</v>
      </c>
      <c r="V81" s="587">
        <f>IFERROR(IF(VLOOKUP(V$2,MODULY_CBA!$B$3:$N$23,13,0)&lt;='TCO TO BE- SW'!$D81,SUM('TCO TO BE- SW'!V$6:V$15)*VLOOKUP('TCO TO BE- SW'!V$2,MODULY_CBA!$B$3:$M$23,12,0),0),0)</f>
        <v>0</v>
      </c>
      <c r="W81" s="587">
        <f>IFERROR(IF(VLOOKUP(W$2,MODULY_CBA!$B$3:$N$23,13,0)&lt;='TCO TO BE- SW'!$D81,SUM('TCO TO BE- SW'!W$6:W$15)*VLOOKUP('TCO TO BE- SW'!W$2,MODULY_CBA!$B$3:$M$23,12,0),0),0)</f>
        <v>0</v>
      </c>
      <c r="X81" s="587">
        <f>IFERROR(IF(VLOOKUP(X$2,MODULY_CBA!$B$3:$N$23,13,0)&lt;='TCO TO BE- SW'!$D81,SUM('TCO TO BE- SW'!X$6:X$15)*VLOOKUP('TCO TO BE- SW'!X$2,MODULY_CBA!$B$3:$M$23,12,0),0),0)</f>
        <v>0</v>
      </c>
      <c r="Y81" s="587">
        <f>IFERROR(IF(VLOOKUP(Y$2,MODULY_CBA!$B$3:$N$23,13,0)&lt;='TCO TO BE- SW'!$D81,SUM('TCO TO BE- SW'!Y$6:Y$15)*VLOOKUP('TCO TO BE- SW'!Y$2,MODULY_CBA!$B$3:$M$23,12,0),0),0)</f>
        <v>0</v>
      </c>
      <c r="Z81" s="587">
        <f>IFERROR(IF(VLOOKUP(Z$2,MODULY_CBA!$B$3:$N$23,13,0)&lt;='TCO TO BE- SW'!$D81,SUM('TCO TO BE- SW'!Z$6:Z$15)*VLOOKUP('TCO TO BE- SW'!Z$2,MODULY_CBA!$B$3:$M$23,12,0),0),0)</f>
        <v>0</v>
      </c>
    </row>
    <row r="82" spans="1:26" outlineLevel="2">
      <c r="A82" s="824"/>
      <c r="B82" s="825"/>
      <c r="C82" s="825"/>
      <c r="D82" s="64">
        <v>4</v>
      </c>
      <c r="E82" s="61">
        <f t="shared" si="12"/>
        <v>1611306.4</v>
      </c>
      <c r="F82" s="672">
        <f>SUM('Rozpočet - HW a licencie'!$I$3,'Rozpočet - HW a licencie'!$I$5,'Rozpočet - HW a licencie'!$I$6)</f>
        <v>1449306.4</v>
      </c>
      <c r="G82" s="672">
        <f>'Rozpočet - HW a licencie'!$I$7</f>
        <v>150000</v>
      </c>
      <c r="H82" s="587">
        <f>IFERROR(IF(VLOOKUP(H$2,MODULY_CBA!$B$3:$N$23,13,0)&lt;='TCO TO BE- SW'!$D82,SUM('TCO TO BE- SW'!H$6:H$15)*VLOOKUP('TCO TO BE- SW'!H$2,MODULY_CBA!$B$3:$M$23,12,0),0),0)</f>
        <v>0</v>
      </c>
      <c r="I82" s="577">
        <f>'Rozpočet - HW a licencie'!$I$10</f>
        <v>12000</v>
      </c>
      <c r="J82" s="587">
        <f>IFERROR(IF(VLOOKUP(J$2,MODULY_CBA!$B$3:$N$23,13,0)&lt;='TCO TO BE- SW'!$D82,SUM('TCO TO BE- SW'!J$6:J$15)*VLOOKUP('TCO TO BE- SW'!J$2,MODULY_CBA!$B$3:$M$23,12,0),0),0)</f>
        <v>0</v>
      </c>
      <c r="K82" s="587">
        <f>IFERROR(IF(VLOOKUP(K$2,MODULY_CBA!$B$3:$N$23,13,0)&lt;='TCO TO BE- SW'!$D82,SUM('TCO TO BE- SW'!K$6:K$15)*VLOOKUP('TCO TO BE- SW'!K$2,MODULY_CBA!$B$3:$M$23,12,0),0),0)</f>
        <v>0</v>
      </c>
      <c r="L82" s="587">
        <f>IFERROR(IF(VLOOKUP(L$2,MODULY_CBA!$B$3:$N$23,13,0)&lt;='TCO TO BE- SW'!$D82,SUM('TCO TO BE- SW'!L$6:L$15)*VLOOKUP('TCO TO BE- SW'!L$2,MODULY_CBA!$B$3:$M$23,12,0),0),0)</f>
        <v>0</v>
      </c>
      <c r="M82" s="587">
        <f>IFERROR(IF(VLOOKUP(M$2,MODULY_CBA!$B$3:$N$23,13,0)&lt;='TCO TO BE- SW'!$D82,SUM('TCO TO BE- SW'!M$6:M$15)*VLOOKUP('TCO TO BE- SW'!M$2,MODULY_CBA!$B$3:$M$23,12,0),0),0)</f>
        <v>0</v>
      </c>
      <c r="N82" s="587">
        <f>IFERROR(IF(VLOOKUP(N$2,MODULY_CBA!$B$3:$N$23,13,0)&lt;='TCO TO BE- SW'!$D82,SUM('TCO TO BE- SW'!N$6:N$15)*VLOOKUP('TCO TO BE- SW'!N$2,MODULY_CBA!$B$3:$M$23,12,0),0),0)</f>
        <v>0</v>
      </c>
      <c r="O82" s="587">
        <f>IFERROR(IF(VLOOKUP(O$2,MODULY_CBA!$B$3:$N$23,13,0)&lt;='TCO TO BE- SW'!$D82,SUM('TCO TO BE- SW'!O$6:O$15)*VLOOKUP('TCO TO BE- SW'!O$2,MODULY_CBA!$B$3:$M$23,12,0),0),0)</f>
        <v>0</v>
      </c>
      <c r="P82" s="587">
        <f>IFERROR(IF(VLOOKUP(P$2,MODULY_CBA!$B$3:$N$23,13,0)&lt;='TCO TO BE- SW'!$D82,SUM('TCO TO BE- SW'!P$6:P$15)*VLOOKUP('TCO TO BE- SW'!P$2,MODULY_CBA!$B$3:$M$23,12,0),0),0)</f>
        <v>0</v>
      </c>
      <c r="Q82" s="587">
        <f>IFERROR(IF(VLOOKUP(Q$2,MODULY_CBA!$B$3:$N$23,13,0)&lt;='TCO TO BE- SW'!$D82,SUM('TCO TO BE- SW'!Q$6:Q$15)*VLOOKUP('TCO TO BE- SW'!Q$2,MODULY_CBA!$B$3:$M$23,12,0),0),0)</f>
        <v>0</v>
      </c>
      <c r="R82" s="587">
        <f>IFERROR(IF(VLOOKUP(R$2,MODULY_CBA!$B$3:$N$23,13,0)&lt;='TCO TO BE- SW'!$D82,SUM('TCO TO BE- SW'!R$6:R$15)*VLOOKUP('TCO TO BE- SW'!R$2,MODULY_CBA!$B$3:$M$23,12,0),0),0)</f>
        <v>0</v>
      </c>
      <c r="S82" s="587">
        <f>IFERROR(IF(VLOOKUP(S$2,MODULY_CBA!$B$3:$N$23,13,0)&lt;='TCO TO BE- SW'!$D82,SUM('TCO TO BE- SW'!S$6:S$15)*VLOOKUP('TCO TO BE- SW'!S$2,MODULY_CBA!$B$3:$M$23,12,0),0),0)</f>
        <v>0</v>
      </c>
      <c r="T82" s="587">
        <f>IFERROR(IF(VLOOKUP(T$2,MODULY_CBA!$B$3:$N$23,13,0)&lt;='TCO TO BE- SW'!$D82,SUM('TCO TO BE- SW'!T$6:T$15)*VLOOKUP('TCO TO BE- SW'!T$2,MODULY_CBA!$B$3:$M$23,12,0),0),0)</f>
        <v>0</v>
      </c>
      <c r="U82" s="587">
        <f>IFERROR(IF(VLOOKUP(U$2,MODULY_CBA!$B$3:$N$23,13,0)&lt;='TCO TO BE- SW'!$D82,SUM('TCO TO BE- SW'!U$6:U$15)*VLOOKUP('TCO TO BE- SW'!U$2,MODULY_CBA!$B$3:$M$23,12,0),0),0)</f>
        <v>0</v>
      </c>
      <c r="V82" s="587">
        <f>IFERROR(IF(VLOOKUP(V$2,MODULY_CBA!$B$3:$N$23,13,0)&lt;='TCO TO BE- SW'!$D82,SUM('TCO TO BE- SW'!V$6:V$15)*VLOOKUP('TCO TO BE- SW'!V$2,MODULY_CBA!$B$3:$M$23,12,0),0),0)</f>
        <v>0</v>
      </c>
      <c r="W82" s="587">
        <f>IFERROR(IF(VLOOKUP(W$2,MODULY_CBA!$B$3:$N$23,13,0)&lt;='TCO TO BE- SW'!$D82,SUM('TCO TO BE- SW'!W$6:W$15)*VLOOKUP('TCO TO BE- SW'!W$2,MODULY_CBA!$B$3:$M$23,12,0),0),0)</f>
        <v>0</v>
      </c>
      <c r="X82" s="587">
        <f>IFERROR(IF(VLOOKUP(X$2,MODULY_CBA!$B$3:$N$23,13,0)&lt;='TCO TO BE- SW'!$D82,SUM('TCO TO BE- SW'!X$6:X$15)*VLOOKUP('TCO TO BE- SW'!X$2,MODULY_CBA!$B$3:$M$23,12,0),0),0)</f>
        <v>0</v>
      </c>
      <c r="Y82" s="587">
        <f>IFERROR(IF(VLOOKUP(Y$2,MODULY_CBA!$B$3:$N$23,13,0)&lt;='TCO TO BE- SW'!$D82,SUM('TCO TO BE- SW'!Y$6:Y$15)*VLOOKUP('TCO TO BE- SW'!Y$2,MODULY_CBA!$B$3:$M$23,12,0),0),0)</f>
        <v>0</v>
      </c>
      <c r="Z82" s="587">
        <f>IFERROR(IF(VLOOKUP(Z$2,MODULY_CBA!$B$3:$N$23,13,0)&lt;='TCO TO BE- SW'!$D82,SUM('TCO TO BE- SW'!Z$6:Z$15)*VLOOKUP('TCO TO BE- SW'!Z$2,MODULY_CBA!$B$3:$M$23,12,0),0),0)</f>
        <v>0</v>
      </c>
    </row>
    <row r="83" spans="1:26" outlineLevel="2">
      <c r="A83" s="824"/>
      <c r="B83" s="825"/>
      <c r="C83" s="825"/>
      <c r="D83" s="64">
        <v>5</v>
      </c>
      <c r="E83" s="61">
        <f t="shared" si="12"/>
        <v>1611306.4</v>
      </c>
      <c r="F83" s="672">
        <f>SUM('Rozpočet - HW a licencie'!$I$3,'Rozpočet - HW a licencie'!$I$5,'Rozpočet - HW a licencie'!$I$6)</f>
        <v>1449306.4</v>
      </c>
      <c r="G83" s="672">
        <f>'Rozpočet - HW a licencie'!$I$7</f>
        <v>150000</v>
      </c>
      <c r="H83" s="587">
        <f>IFERROR(IF(VLOOKUP(H$2,MODULY_CBA!$B$3:$N$23,13,0)&lt;='TCO TO BE- SW'!$D83,SUM('TCO TO BE- SW'!H$6:H$15)*VLOOKUP('TCO TO BE- SW'!H$2,MODULY_CBA!$B$3:$M$23,12,0),0),0)</f>
        <v>0</v>
      </c>
      <c r="I83" s="577">
        <f>'Rozpočet - HW a licencie'!$I$10</f>
        <v>12000</v>
      </c>
      <c r="J83" s="587">
        <f>IFERROR(IF(VLOOKUP(J$2,MODULY_CBA!$B$3:$N$23,13,0)&lt;='TCO TO BE- SW'!$D83,SUM('TCO TO BE- SW'!J$6:J$15)*VLOOKUP('TCO TO BE- SW'!J$2,MODULY_CBA!$B$3:$M$23,12,0),0),0)</f>
        <v>0</v>
      </c>
      <c r="K83" s="587">
        <f>IFERROR(IF(VLOOKUP(K$2,MODULY_CBA!$B$3:$N$23,13,0)&lt;='TCO TO BE- SW'!$D83,SUM('TCO TO BE- SW'!K$6:K$15)*VLOOKUP('TCO TO BE- SW'!K$2,MODULY_CBA!$B$3:$M$23,12,0),0),0)</f>
        <v>0</v>
      </c>
      <c r="L83" s="587">
        <f>IFERROR(IF(VLOOKUP(L$2,MODULY_CBA!$B$3:$N$23,13,0)&lt;='TCO TO BE- SW'!$D83,SUM('TCO TO BE- SW'!L$6:L$15)*VLOOKUP('TCO TO BE- SW'!L$2,MODULY_CBA!$B$3:$M$23,12,0),0),0)</f>
        <v>0</v>
      </c>
      <c r="M83" s="587">
        <f>IFERROR(IF(VLOOKUP(M$2,MODULY_CBA!$B$3:$N$23,13,0)&lt;='TCO TO BE- SW'!$D83,SUM('TCO TO BE- SW'!M$6:M$15)*VLOOKUP('TCO TO BE- SW'!M$2,MODULY_CBA!$B$3:$M$23,12,0),0),0)</f>
        <v>0</v>
      </c>
      <c r="N83" s="587">
        <f>IFERROR(IF(VLOOKUP(N$2,MODULY_CBA!$B$3:$N$23,13,0)&lt;='TCO TO BE- SW'!$D83,SUM('TCO TO BE- SW'!N$6:N$15)*VLOOKUP('TCO TO BE- SW'!N$2,MODULY_CBA!$B$3:$M$23,12,0),0),0)</f>
        <v>0</v>
      </c>
      <c r="O83" s="587">
        <f>IFERROR(IF(VLOOKUP(O$2,MODULY_CBA!$B$3:$N$23,13,0)&lt;='TCO TO BE- SW'!$D83,SUM('TCO TO BE- SW'!O$6:O$15)*VLOOKUP('TCO TO BE- SW'!O$2,MODULY_CBA!$B$3:$M$23,12,0),0),0)</f>
        <v>0</v>
      </c>
      <c r="P83" s="587">
        <f>IFERROR(IF(VLOOKUP(P$2,MODULY_CBA!$B$3:$N$23,13,0)&lt;='TCO TO BE- SW'!$D83,SUM('TCO TO BE- SW'!P$6:P$15)*VLOOKUP('TCO TO BE- SW'!P$2,MODULY_CBA!$B$3:$M$23,12,0),0),0)</f>
        <v>0</v>
      </c>
      <c r="Q83" s="587">
        <f>IFERROR(IF(VLOOKUP(Q$2,MODULY_CBA!$B$3:$N$23,13,0)&lt;='TCO TO BE- SW'!$D83,SUM('TCO TO BE- SW'!Q$6:Q$15)*VLOOKUP('TCO TO BE- SW'!Q$2,MODULY_CBA!$B$3:$M$23,12,0),0),0)</f>
        <v>0</v>
      </c>
      <c r="R83" s="587">
        <f>IFERROR(IF(VLOOKUP(R$2,MODULY_CBA!$B$3:$N$23,13,0)&lt;='TCO TO BE- SW'!$D83,SUM('TCO TO BE- SW'!R$6:R$15)*VLOOKUP('TCO TO BE- SW'!R$2,MODULY_CBA!$B$3:$M$23,12,0),0),0)</f>
        <v>0</v>
      </c>
      <c r="S83" s="587">
        <f>IFERROR(IF(VLOOKUP(S$2,MODULY_CBA!$B$3:$N$23,13,0)&lt;='TCO TO BE- SW'!$D83,SUM('TCO TO BE- SW'!S$6:S$15)*VLOOKUP('TCO TO BE- SW'!S$2,MODULY_CBA!$B$3:$M$23,12,0),0),0)</f>
        <v>0</v>
      </c>
      <c r="T83" s="587">
        <f>IFERROR(IF(VLOOKUP(T$2,MODULY_CBA!$B$3:$N$23,13,0)&lt;='TCO TO BE- SW'!$D83,SUM('TCO TO BE- SW'!T$6:T$15)*VLOOKUP('TCO TO BE- SW'!T$2,MODULY_CBA!$B$3:$M$23,12,0),0),0)</f>
        <v>0</v>
      </c>
      <c r="U83" s="587">
        <f>IFERROR(IF(VLOOKUP(U$2,MODULY_CBA!$B$3:$N$23,13,0)&lt;='TCO TO BE- SW'!$D83,SUM('TCO TO BE- SW'!U$6:U$15)*VLOOKUP('TCO TO BE- SW'!U$2,MODULY_CBA!$B$3:$M$23,12,0),0),0)</f>
        <v>0</v>
      </c>
      <c r="V83" s="587">
        <f>IFERROR(IF(VLOOKUP(V$2,MODULY_CBA!$B$3:$N$23,13,0)&lt;='TCO TO BE- SW'!$D83,SUM('TCO TO BE- SW'!V$6:V$15)*VLOOKUP('TCO TO BE- SW'!V$2,MODULY_CBA!$B$3:$M$23,12,0),0),0)</f>
        <v>0</v>
      </c>
      <c r="W83" s="587">
        <f>IFERROR(IF(VLOOKUP(W$2,MODULY_CBA!$B$3:$N$23,13,0)&lt;='TCO TO BE- SW'!$D83,SUM('TCO TO BE- SW'!W$6:W$15)*VLOOKUP('TCO TO BE- SW'!W$2,MODULY_CBA!$B$3:$M$23,12,0),0),0)</f>
        <v>0</v>
      </c>
      <c r="X83" s="587">
        <f>IFERROR(IF(VLOOKUP(X$2,MODULY_CBA!$B$3:$N$23,13,0)&lt;='TCO TO BE- SW'!$D83,SUM('TCO TO BE- SW'!X$6:X$15)*VLOOKUP('TCO TO BE- SW'!X$2,MODULY_CBA!$B$3:$M$23,12,0),0),0)</f>
        <v>0</v>
      </c>
      <c r="Y83" s="587">
        <f>IFERROR(IF(VLOOKUP(Y$2,MODULY_CBA!$B$3:$N$23,13,0)&lt;='TCO TO BE- SW'!$D83,SUM('TCO TO BE- SW'!Y$6:Y$15)*VLOOKUP('TCO TO BE- SW'!Y$2,MODULY_CBA!$B$3:$M$23,12,0),0),0)</f>
        <v>0</v>
      </c>
      <c r="Z83" s="587">
        <f>IFERROR(IF(VLOOKUP(Z$2,MODULY_CBA!$B$3:$N$23,13,0)&lt;='TCO TO BE- SW'!$D83,SUM('TCO TO BE- SW'!Z$6:Z$15)*VLOOKUP('TCO TO BE- SW'!Z$2,MODULY_CBA!$B$3:$M$23,12,0),0),0)</f>
        <v>0</v>
      </c>
    </row>
    <row r="84" spans="1:26" outlineLevel="2">
      <c r="A84" s="824"/>
      <c r="B84" s="825"/>
      <c r="C84" s="825"/>
      <c r="D84" s="64">
        <v>6</v>
      </c>
      <c r="E84" s="61">
        <f t="shared" si="12"/>
        <v>1611306.4</v>
      </c>
      <c r="F84" s="672">
        <f>SUM('Rozpočet - HW a licencie'!$I$3,'Rozpočet - HW a licencie'!$I$5,'Rozpočet - HW a licencie'!$I$6)</f>
        <v>1449306.4</v>
      </c>
      <c r="G84" s="672">
        <f>'Rozpočet - HW a licencie'!$I$7</f>
        <v>150000</v>
      </c>
      <c r="H84" s="587">
        <f>IFERROR(IF(VLOOKUP(H$2,MODULY_CBA!$B$3:$N$23,13,0)&lt;='TCO TO BE- SW'!$D84,SUM('TCO TO BE- SW'!H$6:H$15)*VLOOKUP('TCO TO BE- SW'!H$2,MODULY_CBA!$B$3:$M$23,12,0),0),0)</f>
        <v>0</v>
      </c>
      <c r="I84" s="577">
        <f>'Rozpočet - HW a licencie'!$I$10</f>
        <v>12000</v>
      </c>
      <c r="J84" s="587">
        <f>IFERROR(IF(VLOOKUP(J$2,MODULY_CBA!$B$3:$N$23,13,0)&lt;='TCO TO BE- SW'!$D84,SUM('TCO TO BE- SW'!J$6:J$15)*VLOOKUP('TCO TO BE- SW'!J$2,MODULY_CBA!$B$3:$M$23,12,0),0),0)</f>
        <v>0</v>
      </c>
      <c r="K84" s="587">
        <f>IFERROR(IF(VLOOKUP(K$2,MODULY_CBA!$B$3:$N$23,13,0)&lt;='TCO TO BE- SW'!$D84,SUM('TCO TO BE- SW'!K$6:K$15)*VLOOKUP('TCO TO BE- SW'!K$2,MODULY_CBA!$B$3:$M$23,12,0),0),0)</f>
        <v>0</v>
      </c>
      <c r="L84" s="587">
        <f>IFERROR(IF(VLOOKUP(L$2,MODULY_CBA!$B$3:$N$23,13,0)&lt;='TCO TO BE- SW'!$D84,SUM('TCO TO BE- SW'!L$6:L$15)*VLOOKUP('TCO TO BE- SW'!L$2,MODULY_CBA!$B$3:$M$23,12,0),0),0)</f>
        <v>0</v>
      </c>
      <c r="M84" s="587">
        <f>IFERROR(IF(VLOOKUP(M$2,MODULY_CBA!$B$3:$N$23,13,0)&lt;='TCO TO BE- SW'!$D84,SUM('TCO TO BE- SW'!M$6:M$15)*VLOOKUP('TCO TO BE- SW'!M$2,MODULY_CBA!$B$3:$M$23,12,0),0),0)</f>
        <v>0</v>
      </c>
      <c r="N84" s="587">
        <f>IFERROR(IF(VLOOKUP(N$2,MODULY_CBA!$B$3:$N$23,13,0)&lt;='TCO TO BE- SW'!$D84,SUM('TCO TO BE- SW'!N$6:N$15)*VLOOKUP('TCO TO BE- SW'!N$2,MODULY_CBA!$B$3:$M$23,12,0),0),0)</f>
        <v>0</v>
      </c>
      <c r="O84" s="587">
        <f>IFERROR(IF(VLOOKUP(O$2,MODULY_CBA!$B$3:$N$23,13,0)&lt;='TCO TO BE- SW'!$D84,SUM('TCO TO BE- SW'!O$6:O$15)*VLOOKUP('TCO TO BE- SW'!O$2,MODULY_CBA!$B$3:$M$23,12,0),0),0)</f>
        <v>0</v>
      </c>
      <c r="P84" s="587">
        <f>IFERROR(IF(VLOOKUP(P$2,MODULY_CBA!$B$3:$N$23,13,0)&lt;='TCO TO BE- SW'!$D84,SUM('TCO TO BE- SW'!P$6:P$15)*VLOOKUP('TCO TO BE- SW'!P$2,MODULY_CBA!$B$3:$M$23,12,0),0),0)</f>
        <v>0</v>
      </c>
      <c r="Q84" s="587">
        <f>IFERROR(IF(VLOOKUP(Q$2,MODULY_CBA!$B$3:$N$23,13,0)&lt;='TCO TO BE- SW'!$D84,SUM('TCO TO BE- SW'!Q$6:Q$15)*VLOOKUP('TCO TO BE- SW'!Q$2,MODULY_CBA!$B$3:$M$23,12,0),0),0)</f>
        <v>0</v>
      </c>
      <c r="R84" s="587">
        <f>IFERROR(IF(VLOOKUP(R$2,MODULY_CBA!$B$3:$N$23,13,0)&lt;='TCO TO BE- SW'!$D84,SUM('TCO TO BE- SW'!R$6:R$15)*VLOOKUP('TCO TO BE- SW'!R$2,MODULY_CBA!$B$3:$M$23,12,0),0),0)</f>
        <v>0</v>
      </c>
      <c r="S84" s="587">
        <f>IFERROR(IF(VLOOKUP(S$2,MODULY_CBA!$B$3:$N$23,13,0)&lt;='TCO TO BE- SW'!$D84,SUM('TCO TO BE- SW'!S$6:S$15)*VLOOKUP('TCO TO BE- SW'!S$2,MODULY_CBA!$B$3:$M$23,12,0),0),0)</f>
        <v>0</v>
      </c>
      <c r="T84" s="587">
        <f>IFERROR(IF(VLOOKUP(T$2,MODULY_CBA!$B$3:$N$23,13,0)&lt;='TCO TO BE- SW'!$D84,SUM('TCO TO BE- SW'!T$6:T$15)*VLOOKUP('TCO TO BE- SW'!T$2,MODULY_CBA!$B$3:$M$23,12,0),0),0)</f>
        <v>0</v>
      </c>
      <c r="U84" s="587">
        <f>IFERROR(IF(VLOOKUP(U$2,MODULY_CBA!$B$3:$N$23,13,0)&lt;='TCO TO BE- SW'!$D84,SUM('TCO TO BE- SW'!U$6:U$15)*VLOOKUP('TCO TO BE- SW'!U$2,MODULY_CBA!$B$3:$M$23,12,0),0),0)</f>
        <v>0</v>
      </c>
      <c r="V84" s="587">
        <f>IFERROR(IF(VLOOKUP(V$2,MODULY_CBA!$B$3:$N$23,13,0)&lt;='TCO TO BE- SW'!$D84,SUM('TCO TO BE- SW'!V$6:V$15)*VLOOKUP('TCO TO BE- SW'!V$2,MODULY_CBA!$B$3:$M$23,12,0),0),0)</f>
        <v>0</v>
      </c>
      <c r="W84" s="587">
        <f>IFERROR(IF(VLOOKUP(W$2,MODULY_CBA!$B$3:$N$23,13,0)&lt;='TCO TO BE- SW'!$D84,SUM('TCO TO BE- SW'!W$6:W$15)*VLOOKUP('TCO TO BE- SW'!W$2,MODULY_CBA!$B$3:$M$23,12,0),0),0)</f>
        <v>0</v>
      </c>
      <c r="X84" s="587">
        <f>IFERROR(IF(VLOOKUP(X$2,MODULY_CBA!$B$3:$N$23,13,0)&lt;='TCO TO BE- SW'!$D84,SUM('TCO TO BE- SW'!X$6:X$15)*VLOOKUP('TCO TO BE- SW'!X$2,MODULY_CBA!$B$3:$M$23,12,0),0),0)</f>
        <v>0</v>
      </c>
      <c r="Y84" s="587">
        <f>IFERROR(IF(VLOOKUP(Y$2,MODULY_CBA!$B$3:$N$23,13,0)&lt;='TCO TO BE- SW'!$D84,SUM('TCO TO BE- SW'!Y$6:Y$15)*VLOOKUP('TCO TO BE- SW'!Y$2,MODULY_CBA!$B$3:$M$23,12,0),0),0)</f>
        <v>0</v>
      </c>
      <c r="Z84" s="587">
        <f>IFERROR(IF(VLOOKUP(Z$2,MODULY_CBA!$B$3:$N$23,13,0)&lt;='TCO TO BE- SW'!$D84,SUM('TCO TO BE- SW'!Z$6:Z$15)*VLOOKUP('TCO TO BE- SW'!Z$2,MODULY_CBA!$B$3:$M$23,12,0),0),0)</f>
        <v>0</v>
      </c>
    </row>
    <row r="85" spans="1:26" outlineLevel="2">
      <c r="A85" s="824"/>
      <c r="B85" s="825"/>
      <c r="C85" s="825"/>
      <c r="D85" s="64">
        <v>7</v>
      </c>
      <c r="E85" s="61">
        <f t="shared" si="12"/>
        <v>1611306.4</v>
      </c>
      <c r="F85" s="672">
        <f>SUM('Rozpočet - HW a licencie'!$I$3,'Rozpočet - HW a licencie'!$I$5,'Rozpočet - HW a licencie'!$I$6)</f>
        <v>1449306.4</v>
      </c>
      <c r="G85" s="672">
        <f>'Rozpočet - HW a licencie'!$I$7</f>
        <v>150000</v>
      </c>
      <c r="H85" s="587">
        <f>IFERROR(IF(VLOOKUP(H$2,MODULY_CBA!$B$3:$N$23,13,0)&lt;='TCO TO BE- SW'!$D85,SUM('TCO TO BE- SW'!H$6:H$15)*VLOOKUP('TCO TO BE- SW'!H$2,MODULY_CBA!$B$3:$M$23,12,0),0),0)</f>
        <v>0</v>
      </c>
      <c r="I85" s="577">
        <f>'Rozpočet - HW a licencie'!$I$10</f>
        <v>12000</v>
      </c>
      <c r="J85" s="587">
        <f>IFERROR(IF(VLOOKUP(J$2,MODULY_CBA!$B$3:$N$23,13,0)&lt;='TCO TO BE- SW'!$D85,SUM('TCO TO BE- SW'!J$6:J$15)*VLOOKUP('TCO TO BE- SW'!J$2,MODULY_CBA!$B$3:$M$23,12,0),0),0)</f>
        <v>0</v>
      </c>
      <c r="K85" s="587">
        <f>IFERROR(IF(VLOOKUP(K$2,MODULY_CBA!$B$3:$N$23,13,0)&lt;='TCO TO BE- SW'!$D85,SUM('TCO TO BE- SW'!K$6:K$15)*VLOOKUP('TCO TO BE- SW'!K$2,MODULY_CBA!$B$3:$M$23,12,0),0),0)</f>
        <v>0</v>
      </c>
      <c r="L85" s="587">
        <f>IFERROR(IF(VLOOKUP(L$2,MODULY_CBA!$B$3:$N$23,13,0)&lt;='TCO TO BE- SW'!$D85,SUM('TCO TO BE- SW'!L$6:L$15)*VLOOKUP('TCO TO BE- SW'!L$2,MODULY_CBA!$B$3:$M$23,12,0),0),0)</f>
        <v>0</v>
      </c>
      <c r="M85" s="587">
        <f>IFERROR(IF(VLOOKUP(M$2,MODULY_CBA!$B$3:$N$23,13,0)&lt;='TCO TO BE- SW'!$D85,SUM('TCO TO BE- SW'!M$6:M$15)*VLOOKUP('TCO TO BE- SW'!M$2,MODULY_CBA!$B$3:$M$23,12,0),0),0)</f>
        <v>0</v>
      </c>
      <c r="N85" s="587">
        <f>IFERROR(IF(VLOOKUP(N$2,MODULY_CBA!$B$3:$N$23,13,0)&lt;='TCO TO BE- SW'!$D85,SUM('TCO TO BE- SW'!N$6:N$15)*VLOOKUP('TCO TO BE- SW'!N$2,MODULY_CBA!$B$3:$M$23,12,0),0),0)</f>
        <v>0</v>
      </c>
      <c r="O85" s="587">
        <f>IFERROR(IF(VLOOKUP(O$2,MODULY_CBA!$B$3:$N$23,13,0)&lt;='TCO TO BE- SW'!$D85,SUM('TCO TO BE- SW'!O$6:O$15)*VLOOKUP('TCO TO BE- SW'!O$2,MODULY_CBA!$B$3:$M$23,12,0),0),0)</f>
        <v>0</v>
      </c>
      <c r="P85" s="587">
        <f>IFERROR(IF(VLOOKUP(P$2,MODULY_CBA!$B$3:$N$23,13,0)&lt;='TCO TO BE- SW'!$D85,SUM('TCO TO BE- SW'!P$6:P$15)*VLOOKUP('TCO TO BE- SW'!P$2,MODULY_CBA!$B$3:$M$23,12,0),0),0)</f>
        <v>0</v>
      </c>
      <c r="Q85" s="587">
        <f>IFERROR(IF(VLOOKUP(Q$2,MODULY_CBA!$B$3:$N$23,13,0)&lt;='TCO TO BE- SW'!$D85,SUM('TCO TO BE- SW'!Q$6:Q$15)*VLOOKUP('TCO TO BE- SW'!Q$2,MODULY_CBA!$B$3:$M$23,12,0),0),0)</f>
        <v>0</v>
      </c>
      <c r="R85" s="587">
        <f>IFERROR(IF(VLOOKUP(R$2,MODULY_CBA!$B$3:$N$23,13,0)&lt;='TCO TO BE- SW'!$D85,SUM('TCO TO BE- SW'!R$6:R$15)*VLOOKUP('TCO TO BE- SW'!R$2,MODULY_CBA!$B$3:$M$23,12,0),0),0)</f>
        <v>0</v>
      </c>
      <c r="S85" s="587">
        <f>IFERROR(IF(VLOOKUP(S$2,MODULY_CBA!$B$3:$N$23,13,0)&lt;='TCO TO BE- SW'!$D85,SUM('TCO TO BE- SW'!S$6:S$15)*VLOOKUP('TCO TO BE- SW'!S$2,MODULY_CBA!$B$3:$M$23,12,0),0),0)</f>
        <v>0</v>
      </c>
      <c r="T85" s="587">
        <f>IFERROR(IF(VLOOKUP(T$2,MODULY_CBA!$B$3:$N$23,13,0)&lt;='TCO TO BE- SW'!$D85,SUM('TCO TO BE- SW'!T$6:T$15)*VLOOKUP('TCO TO BE- SW'!T$2,MODULY_CBA!$B$3:$M$23,12,0),0),0)</f>
        <v>0</v>
      </c>
      <c r="U85" s="587">
        <f>IFERROR(IF(VLOOKUP(U$2,MODULY_CBA!$B$3:$N$23,13,0)&lt;='TCO TO BE- SW'!$D85,SUM('TCO TO BE- SW'!U$6:U$15)*VLOOKUP('TCO TO BE- SW'!U$2,MODULY_CBA!$B$3:$M$23,12,0),0),0)</f>
        <v>0</v>
      </c>
      <c r="V85" s="587">
        <f>IFERROR(IF(VLOOKUP(V$2,MODULY_CBA!$B$3:$N$23,13,0)&lt;='TCO TO BE- SW'!$D85,SUM('TCO TO BE- SW'!V$6:V$15)*VLOOKUP('TCO TO BE- SW'!V$2,MODULY_CBA!$B$3:$M$23,12,0),0),0)</f>
        <v>0</v>
      </c>
      <c r="W85" s="587">
        <f>IFERROR(IF(VLOOKUP(W$2,MODULY_CBA!$B$3:$N$23,13,0)&lt;='TCO TO BE- SW'!$D85,SUM('TCO TO BE- SW'!W$6:W$15)*VLOOKUP('TCO TO BE- SW'!W$2,MODULY_CBA!$B$3:$M$23,12,0),0),0)</f>
        <v>0</v>
      </c>
      <c r="X85" s="587">
        <f>IFERROR(IF(VLOOKUP(X$2,MODULY_CBA!$B$3:$N$23,13,0)&lt;='TCO TO BE- SW'!$D85,SUM('TCO TO BE- SW'!X$6:X$15)*VLOOKUP('TCO TO BE- SW'!X$2,MODULY_CBA!$B$3:$M$23,12,0),0),0)</f>
        <v>0</v>
      </c>
      <c r="Y85" s="587">
        <f>IFERROR(IF(VLOOKUP(Y$2,MODULY_CBA!$B$3:$N$23,13,0)&lt;='TCO TO BE- SW'!$D85,SUM('TCO TO BE- SW'!Y$6:Y$15)*VLOOKUP('TCO TO BE- SW'!Y$2,MODULY_CBA!$B$3:$M$23,12,0),0),0)</f>
        <v>0</v>
      </c>
      <c r="Z85" s="587">
        <f>IFERROR(IF(VLOOKUP(Z$2,MODULY_CBA!$B$3:$N$23,13,0)&lt;='TCO TO BE- SW'!$D85,SUM('TCO TO BE- SW'!Z$6:Z$15)*VLOOKUP('TCO TO BE- SW'!Z$2,MODULY_CBA!$B$3:$M$23,12,0),0),0)</f>
        <v>0</v>
      </c>
    </row>
    <row r="86" spans="1:26" outlineLevel="2">
      <c r="A86" s="824"/>
      <c r="B86" s="825"/>
      <c r="C86" s="825"/>
      <c r="D86" s="64">
        <v>8</v>
      </c>
      <c r="E86" s="61">
        <f t="shared" si="12"/>
        <v>1611306.4</v>
      </c>
      <c r="F86" s="672">
        <f>SUM('Rozpočet - HW a licencie'!$I$3,'Rozpočet - HW a licencie'!$I$5,'Rozpočet - HW a licencie'!$I$6)</f>
        <v>1449306.4</v>
      </c>
      <c r="G86" s="672">
        <f>'Rozpočet - HW a licencie'!$I$7</f>
        <v>150000</v>
      </c>
      <c r="H86" s="587">
        <f>IFERROR(IF(VLOOKUP(H$2,MODULY_CBA!$B$3:$N$23,13,0)&lt;='TCO TO BE- SW'!$D86,SUM('TCO TO BE- SW'!H$6:H$15)*VLOOKUP('TCO TO BE- SW'!H$2,MODULY_CBA!$B$3:$M$23,12,0),0),0)</f>
        <v>0</v>
      </c>
      <c r="I86" s="577">
        <f>'Rozpočet - HW a licencie'!$I$10</f>
        <v>12000</v>
      </c>
      <c r="J86" s="587">
        <f>IFERROR(IF(VLOOKUP(J$2,MODULY_CBA!$B$3:$N$23,13,0)&lt;='TCO TO BE- SW'!$D86,SUM('TCO TO BE- SW'!J$6:J$15)*VLOOKUP('TCO TO BE- SW'!J$2,MODULY_CBA!$B$3:$M$23,12,0),0),0)</f>
        <v>0</v>
      </c>
      <c r="K86" s="587">
        <f>IFERROR(IF(VLOOKUP(K$2,MODULY_CBA!$B$3:$N$23,13,0)&lt;='TCO TO BE- SW'!$D86,SUM('TCO TO BE- SW'!K$6:K$15)*VLOOKUP('TCO TO BE- SW'!K$2,MODULY_CBA!$B$3:$M$23,12,0),0),0)</f>
        <v>0</v>
      </c>
      <c r="L86" s="587">
        <f>IFERROR(IF(VLOOKUP(L$2,MODULY_CBA!$B$3:$N$23,13,0)&lt;='TCO TO BE- SW'!$D86,SUM('TCO TO BE- SW'!L$6:L$15)*VLOOKUP('TCO TO BE- SW'!L$2,MODULY_CBA!$B$3:$M$23,12,0),0),0)</f>
        <v>0</v>
      </c>
      <c r="M86" s="587">
        <f>IFERROR(IF(VLOOKUP(M$2,MODULY_CBA!$B$3:$N$23,13,0)&lt;='TCO TO BE- SW'!$D86,SUM('TCO TO BE- SW'!M$6:M$15)*VLOOKUP('TCO TO BE- SW'!M$2,MODULY_CBA!$B$3:$M$23,12,0),0),0)</f>
        <v>0</v>
      </c>
      <c r="N86" s="587">
        <f>IFERROR(IF(VLOOKUP(N$2,MODULY_CBA!$B$3:$N$23,13,0)&lt;='TCO TO BE- SW'!$D86,SUM('TCO TO BE- SW'!N$6:N$15)*VLOOKUP('TCO TO BE- SW'!N$2,MODULY_CBA!$B$3:$M$23,12,0),0),0)</f>
        <v>0</v>
      </c>
      <c r="O86" s="587">
        <f>IFERROR(IF(VLOOKUP(O$2,MODULY_CBA!$B$3:$N$23,13,0)&lt;='TCO TO BE- SW'!$D86,SUM('TCO TO BE- SW'!O$6:O$15)*VLOOKUP('TCO TO BE- SW'!O$2,MODULY_CBA!$B$3:$M$23,12,0),0),0)</f>
        <v>0</v>
      </c>
      <c r="P86" s="587">
        <f>IFERROR(IF(VLOOKUP(P$2,MODULY_CBA!$B$3:$N$23,13,0)&lt;='TCO TO BE- SW'!$D86,SUM('TCO TO BE- SW'!P$6:P$15)*VLOOKUP('TCO TO BE- SW'!P$2,MODULY_CBA!$B$3:$M$23,12,0),0),0)</f>
        <v>0</v>
      </c>
      <c r="Q86" s="587">
        <f>IFERROR(IF(VLOOKUP(Q$2,MODULY_CBA!$B$3:$N$23,13,0)&lt;='TCO TO BE- SW'!$D86,SUM('TCO TO BE- SW'!Q$6:Q$15)*VLOOKUP('TCO TO BE- SW'!Q$2,MODULY_CBA!$B$3:$M$23,12,0),0),0)</f>
        <v>0</v>
      </c>
      <c r="R86" s="587">
        <f>IFERROR(IF(VLOOKUP(R$2,MODULY_CBA!$B$3:$N$23,13,0)&lt;='TCO TO BE- SW'!$D86,SUM('TCO TO BE- SW'!R$6:R$15)*VLOOKUP('TCO TO BE- SW'!R$2,MODULY_CBA!$B$3:$M$23,12,0),0),0)</f>
        <v>0</v>
      </c>
      <c r="S86" s="587">
        <f>IFERROR(IF(VLOOKUP(S$2,MODULY_CBA!$B$3:$N$23,13,0)&lt;='TCO TO BE- SW'!$D86,SUM('TCO TO BE- SW'!S$6:S$15)*VLOOKUP('TCO TO BE- SW'!S$2,MODULY_CBA!$B$3:$M$23,12,0),0),0)</f>
        <v>0</v>
      </c>
      <c r="T86" s="587">
        <f>IFERROR(IF(VLOOKUP(T$2,MODULY_CBA!$B$3:$N$23,13,0)&lt;='TCO TO BE- SW'!$D86,SUM('TCO TO BE- SW'!T$6:T$15)*VLOOKUP('TCO TO BE- SW'!T$2,MODULY_CBA!$B$3:$M$23,12,0),0),0)</f>
        <v>0</v>
      </c>
      <c r="U86" s="587">
        <f>IFERROR(IF(VLOOKUP(U$2,MODULY_CBA!$B$3:$N$23,13,0)&lt;='TCO TO BE- SW'!$D86,SUM('TCO TO BE- SW'!U$6:U$15)*VLOOKUP('TCO TO BE- SW'!U$2,MODULY_CBA!$B$3:$M$23,12,0),0),0)</f>
        <v>0</v>
      </c>
      <c r="V86" s="587">
        <f>IFERROR(IF(VLOOKUP(V$2,MODULY_CBA!$B$3:$N$23,13,0)&lt;='TCO TO BE- SW'!$D86,SUM('TCO TO BE- SW'!V$6:V$15)*VLOOKUP('TCO TO BE- SW'!V$2,MODULY_CBA!$B$3:$M$23,12,0),0),0)</f>
        <v>0</v>
      </c>
      <c r="W86" s="587">
        <f>IFERROR(IF(VLOOKUP(W$2,MODULY_CBA!$B$3:$N$23,13,0)&lt;='TCO TO BE- SW'!$D86,SUM('TCO TO BE- SW'!W$6:W$15)*VLOOKUP('TCO TO BE- SW'!W$2,MODULY_CBA!$B$3:$M$23,12,0),0),0)</f>
        <v>0</v>
      </c>
      <c r="X86" s="587">
        <f>IFERROR(IF(VLOOKUP(X$2,MODULY_CBA!$B$3:$N$23,13,0)&lt;='TCO TO BE- SW'!$D86,SUM('TCO TO BE- SW'!X$6:X$15)*VLOOKUP('TCO TO BE- SW'!X$2,MODULY_CBA!$B$3:$M$23,12,0),0),0)</f>
        <v>0</v>
      </c>
      <c r="Y86" s="587">
        <f>IFERROR(IF(VLOOKUP(Y$2,MODULY_CBA!$B$3:$N$23,13,0)&lt;='TCO TO BE- SW'!$D86,SUM('TCO TO BE- SW'!Y$6:Y$15)*VLOOKUP('TCO TO BE- SW'!Y$2,MODULY_CBA!$B$3:$M$23,12,0),0),0)</f>
        <v>0</v>
      </c>
      <c r="Z86" s="587">
        <f>IFERROR(IF(VLOOKUP(Z$2,MODULY_CBA!$B$3:$N$23,13,0)&lt;='TCO TO BE- SW'!$D86,SUM('TCO TO BE- SW'!Z$6:Z$15)*VLOOKUP('TCO TO BE- SW'!Z$2,MODULY_CBA!$B$3:$M$23,12,0),0),0)</f>
        <v>0</v>
      </c>
    </row>
    <row r="87" spans="1:26" outlineLevel="2">
      <c r="A87" s="824"/>
      <c r="B87" s="825"/>
      <c r="C87" s="825"/>
      <c r="D87" s="64">
        <v>9</v>
      </c>
      <c r="E87" s="61">
        <f t="shared" si="12"/>
        <v>1611306.4</v>
      </c>
      <c r="F87" s="672">
        <f>SUM('Rozpočet - HW a licencie'!$I$3,'Rozpočet - HW a licencie'!$I$5,'Rozpočet - HW a licencie'!$I$6)</f>
        <v>1449306.4</v>
      </c>
      <c r="G87" s="672">
        <f>'Rozpočet - HW a licencie'!$I$7</f>
        <v>150000</v>
      </c>
      <c r="H87" s="587">
        <f>IFERROR(IF(VLOOKUP(H$2,MODULY_CBA!$B$3:$N$23,13,0)&lt;='TCO TO BE- SW'!$D87,SUM('TCO TO BE- SW'!H$6:H$15)*VLOOKUP('TCO TO BE- SW'!H$2,MODULY_CBA!$B$3:$M$23,12,0),0),0)</f>
        <v>0</v>
      </c>
      <c r="I87" s="577">
        <f>'Rozpočet - HW a licencie'!$I$10</f>
        <v>12000</v>
      </c>
      <c r="J87" s="587">
        <f>IFERROR(IF(VLOOKUP(J$2,MODULY_CBA!$B$3:$N$23,13,0)&lt;='TCO TO BE- SW'!$D87,SUM('TCO TO BE- SW'!J$6:J$15)*VLOOKUP('TCO TO BE- SW'!J$2,MODULY_CBA!$B$3:$M$23,12,0),0),0)</f>
        <v>0</v>
      </c>
      <c r="K87" s="587">
        <f>IFERROR(IF(VLOOKUP(K$2,MODULY_CBA!$B$3:$N$23,13,0)&lt;='TCO TO BE- SW'!$D87,SUM('TCO TO BE- SW'!K$6:K$15)*VLOOKUP('TCO TO BE- SW'!K$2,MODULY_CBA!$B$3:$M$23,12,0),0),0)</f>
        <v>0</v>
      </c>
      <c r="L87" s="587">
        <f>IFERROR(IF(VLOOKUP(L$2,MODULY_CBA!$B$3:$N$23,13,0)&lt;='TCO TO BE- SW'!$D87,SUM('TCO TO BE- SW'!L$6:L$15)*VLOOKUP('TCO TO BE- SW'!L$2,MODULY_CBA!$B$3:$M$23,12,0),0),0)</f>
        <v>0</v>
      </c>
      <c r="M87" s="587">
        <f>IFERROR(IF(VLOOKUP(M$2,MODULY_CBA!$B$3:$N$23,13,0)&lt;='TCO TO BE- SW'!$D87,SUM('TCO TO BE- SW'!M$6:M$15)*VLOOKUP('TCO TO BE- SW'!M$2,MODULY_CBA!$B$3:$M$23,12,0),0),0)</f>
        <v>0</v>
      </c>
      <c r="N87" s="587">
        <f>IFERROR(IF(VLOOKUP(N$2,MODULY_CBA!$B$3:$N$23,13,0)&lt;='TCO TO BE- SW'!$D87,SUM('TCO TO BE- SW'!N$6:N$15)*VLOOKUP('TCO TO BE- SW'!N$2,MODULY_CBA!$B$3:$M$23,12,0),0),0)</f>
        <v>0</v>
      </c>
      <c r="O87" s="587">
        <f>IFERROR(IF(VLOOKUP(O$2,MODULY_CBA!$B$3:$N$23,13,0)&lt;='TCO TO BE- SW'!$D87,SUM('TCO TO BE- SW'!O$6:O$15)*VLOOKUP('TCO TO BE- SW'!O$2,MODULY_CBA!$B$3:$M$23,12,0),0),0)</f>
        <v>0</v>
      </c>
      <c r="P87" s="587">
        <f>IFERROR(IF(VLOOKUP(P$2,MODULY_CBA!$B$3:$N$23,13,0)&lt;='TCO TO BE- SW'!$D87,SUM('TCO TO BE- SW'!P$6:P$15)*VLOOKUP('TCO TO BE- SW'!P$2,MODULY_CBA!$B$3:$M$23,12,0),0),0)</f>
        <v>0</v>
      </c>
      <c r="Q87" s="587">
        <f>IFERROR(IF(VLOOKUP(Q$2,MODULY_CBA!$B$3:$N$23,13,0)&lt;='TCO TO BE- SW'!$D87,SUM('TCO TO BE- SW'!Q$6:Q$15)*VLOOKUP('TCO TO BE- SW'!Q$2,MODULY_CBA!$B$3:$M$23,12,0),0),0)</f>
        <v>0</v>
      </c>
      <c r="R87" s="587">
        <f>IFERROR(IF(VLOOKUP(R$2,MODULY_CBA!$B$3:$N$23,13,0)&lt;='TCO TO BE- SW'!$D87,SUM('TCO TO BE- SW'!R$6:R$15)*VLOOKUP('TCO TO BE- SW'!R$2,MODULY_CBA!$B$3:$M$23,12,0),0),0)</f>
        <v>0</v>
      </c>
      <c r="S87" s="587">
        <f>IFERROR(IF(VLOOKUP(S$2,MODULY_CBA!$B$3:$N$23,13,0)&lt;='TCO TO BE- SW'!$D87,SUM('TCO TO BE- SW'!S$6:S$15)*VLOOKUP('TCO TO BE- SW'!S$2,MODULY_CBA!$B$3:$M$23,12,0),0),0)</f>
        <v>0</v>
      </c>
      <c r="T87" s="587">
        <f>IFERROR(IF(VLOOKUP(T$2,MODULY_CBA!$B$3:$N$23,13,0)&lt;='TCO TO BE- SW'!$D87,SUM('TCO TO BE- SW'!T$6:T$15)*VLOOKUP('TCO TO BE- SW'!T$2,MODULY_CBA!$B$3:$M$23,12,0),0),0)</f>
        <v>0</v>
      </c>
      <c r="U87" s="587">
        <f>IFERROR(IF(VLOOKUP(U$2,MODULY_CBA!$B$3:$N$23,13,0)&lt;='TCO TO BE- SW'!$D87,SUM('TCO TO BE- SW'!U$6:U$15)*VLOOKUP('TCO TO BE- SW'!U$2,MODULY_CBA!$B$3:$M$23,12,0),0),0)</f>
        <v>0</v>
      </c>
      <c r="V87" s="587">
        <f>IFERROR(IF(VLOOKUP(V$2,MODULY_CBA!$B$3:$N$23,13,0)&lt;='TCO TO BE- SW'!$D87,SUM('TCO TO BE- SW'!V$6:V$15)*VLOOKUP('TCO TO BE- SW'!V$2,MODULY_CBA!$B$3:$M$23,12,0),0),0)</f>
        <v>0</v>
      </c>
      <c r="W87" s="587">
        <f>IFERROR(IF(VLOOKUP(W$2,MODULY_CBA!$B$3:$N$23,13,0)&lt;='TCO TO BE- SW'!$D87,SUM('TCO TO BE- SW'!W$6:W$15)*VLOOKUP('TCO TO BE- SW'!W$2,MODULY_CBA!$B$3:$M$23,12,0),0),0)</f>
        <v>0</v>
      </c>
      <c r="X87" s="587">
        <f>IFERROR(IF(VLOOKUP(X$2,MODULY_CBA!$B$3:$N$23,13,0)&lt;='TCO TO BE- SW'!$D87,SUM('TCO TO BE- SW'!X$6:X$15)*VLOOKUP('TCO TO BE- SW'!X$2,MODULY_CBA!$B$3:$M$23,12,0),0),0)</f>
        <v>0</v>
      </c>
      <c r="Y87" s="587">
        <f>IFERROR(IF(VLOOKUP(Y$2,MODULY_CBA!$B$3:$N$23,13,0)&lt;='TCO TO BE- SW'!$D87,SUM('TCO TO BE- SW'!Y$6:Y$15)*VLOOKUP('TCO TO BE- SW'!Y$2,MODULY_CBA!$B$3:$M$23,12,0),0),0)</f>
        <v>0</v>
      </c>
      <c r="Z87" s="587">
        <f>IFERROR(IF(VLOOKUP(Z$2,MODULY_CBA!$B$3:$N$23,13,0)&lt;='TCO TO BE- SW'!$D87,SUM('TCO TO BE- SW'!Z$6:Z$15)*VLOOKUP('TCO TO BE- SW'!Z$2,MODULY_CBA!$B$3:$M$23,12,0),0),0)</f>
        <v>0</v>
      </c>
    </row>
    <row r="88" spans="1:26" ht="15.75" outlineLevel="2" thickBot="1">
      <c r="A88" s="824"/>
      <c r="B88" s="825"/>
      <c r="C88" s="825"/>
      <c r="D88" s="65">
        <v>10</v>
      </c>
      <c r="E88" s="62">
        <f t="shared" si="12"/>
        <v>1611306.4</v>
      </c>
      <c r="F88" s="672">
        <f>SUM('Rozpočet - HW a licencie'!$I$3,'Rozpočet - HW a licencie'!$I$5,'Rozpočet - HW a licencie'!$I$6)</f>
        <v>1449306.4</v>
      </c>
      <c r="G88" s="672">
        <f>'Rozpočet - HW a licencie'!$I$7</f>
        <v>150000</v>
      </c>
      <c r="H88" s="587">
        <f>IFERROR(IF(VLOOKUP(H$2,MODULY_CBA!$B$3:$N$23,13,0)&lt;='TCO TO BE- SW'!$D88,SUM('TCO TO BE- SW'!H$6:H$15)*VLOOKUP('TCO TO BE- SW'!H$2,MODULY_CBA!$B$3:$M$23,12,0),0),0)</f>
        <v>0</v>
      </c>
      <c r="I88" s="577">
        <f>'Rozpočet - HW a licencie'!$I$10</f>
        <v>12000</v>
      </c>
      <c r="J88" s="587">
        <f>IFERROR(IF(VLOOKUP(J$2,MODULY_CBA!$B$3:$N$23,13,0)&lt;='TCO TO BE- SW'!$D88,SUM('TCO TO BE- SW'!J$6:J$15)*VLOOKUP('TCO TO BE- SW'!J$2,MODULY_CBA!$B$3:$M$23,12,0),0),0)</f>
        <v>0</v>
      </c>
      <c r="K88" s="587">
        <f>IFERROR(IF(VLOOKUP(K$2,MODULY_CBA!$B$3:$N$23,13,0)&lt;='TCO TO BE- SW'!$D88,SUM('TCO TO BE- SW'!K$6:K$15)*VLOOKUP('TCO TO BE- SW'!K$2,MODULY_CBA!$B$3:$M$23,12,0),0),0)</f>
        <v>0</v>
      </c>
      <c r="L88" s="587">
        <f>IFERROR(IF(VLOOKUP(L$2,MODULY_CBA!$B$3:$N$23,13,0)&lt;='TCO TO BE- SW'!$D88,SUM('TCO TO BE- SW'!L$6:L$15)*VLOOKUP('TCO TO BE- SW'!L$2,MODULY_CBA!$B$3:$M$23,12,0),0),0)</f>
        <v>0</v>
      </c>
      <c r="M88" s="587">
        <f>IFERROR(IF(VLOOKUP(M$2,MODULY_CBA!$B$3:$N$23,13,0)&lt;='TCO TO BE- SW'!$D88,SUM('TCO TO BE- SW'!M$6:M$15)*VLOOKUP('TCO TO BE- SW'!M$2,MODULY_CBA!$B$3:$M$23,12,0),0),0)</f>
        <v>0</v>
      </c>
      <c r="N88" s="587">
        <f>IFERROR(IF(VLOOKUP(N$2,MODULY_CBA!$B$3:$N$23,13,0)&lt;='TCO TO BE- SW'!$D88,SUM('TCO TO BE- SW'!N$6:N$15)*VLOOKUP('TCO TO BE- SW'!N$2,MODULY_CBA!$B$3:$M$23,12,0),0),0)</f>
        <v>0</v>
      </c>
      <c r="O88" s="587">
        <f>IFERROR(IF(VLOOKUP(O$2,MODULY_CBA!$B$3:$N$23,13,0)&lt;='TCO TO BE- SW'!$D88,SUM('TCO TO BE- SW'!O$6:O$15)*VLOOKUP('TCO TO BE- SW'!O$2,MODULY_CBA!$B$3:$M$23,12,0),0),0)</f>
        <v>0</v>
      </c>
      <c r="P88" s="587">
        <f>IFERROR(IF(VLOOKUP(P$2,MODULY_CBA!$B$3:$N$23,13,0)&lt;='TCO TO BE- SW'!$D88,SUM('TCO TO BE- SW'!P$6:P$15)*VLOOKUP('TCO TO BE- SW'!P$2,MODULY_CBA!$B$3:$M$23,12,0),0),0)</f>
        <v>0</v>
      </c>
      <c r="Q88" s="587">
        <f>IFERROR(IF(VLOOKUP(Q$2,MODULY_CBA!$B$3:$N$23,13,0)&lt;='TCO TO BE- SW'!$D88,SUM('TCO TO BE- SW'!Q$6:Q$15)*VLOOKUP('TCO TO BE- SW'!Q$2,MODULY_CBA!$B$3:$M$23,12,0),0),0)</f>
        <v>0</v>
      </c>
      <c r="R88" s="587">
        <f>IFERROR(IF(VLOOKUP(R$2,MODULY_CBA!$B$3:$N$23,13,0)&lt;='TCO TO BE- SW'!$D88,SUM('TCO TO BE- SW'!R$6:R$15)*VLOOKUP('TCO TO BE- SW'!R$2,MODULY_CBA!$B$3:$M$23,12,0),0),0)</f>
        <v>0</v>
      </c>
      <c r="S88" s="587">
        <f>IFERROR(IF(VLOOKUP(S$2,MODULY_CBA!$B$3:$N$23,13,0)&lt;='TCO TO BE- SW'!$D88,SUM('TCO TO BE- SW'!S$6:S$15)*VLOOKUP('TCO TO BE- SW'!S$2,MODULY_CBA!$B$3:$M$23,12,0),0),0)</f>
        <v>0</v>
      </c>
      <c r="T88" s="587">
        <f>IFERROR(IF(VLOOKUP(T$2,MODULY_CBA!$B$3:$N$23,13,0)&lt;='TCO TO BE- SW'!$D88,SUM('TCO TO BE- SW'!T$6:T$15)*VLOOKUP('TCO TO BE- SW'!T$2,MODULY_CBA!$B$3:$M$23,12,0),0),0)</f>
        <v>0</v>
      </c>
      <c r="U88" s="587">
        <f>IFERROR(IF(VLOOKUP(U$2,MODULY_CBA!$B$3:$N$23,13,0)&lt;='TCO TO BE- SW'!$D88,SUM('TCO TO BE- SW'!U$6:U$15)*VLOOKUP('TCO TO BE- SW'!U$2,MODULY_CBA!$B$3:$M$23,12,0),0),0)</f>
        <v>0</v>
      </c>
      <c r="V88" s="587">
        <f>IFERROR(IF(VLOOKUP(V$2,MODULY_CBA!$B$3:$N$23,13,0)&lt;='TCO TO BE- SW'!$D88,SUM('TCO TO BE- SW'!V$6:V$15)*VLOOKUP('TCO TO BE- SW'!V$2,MODULY_CBA!$B$3:$M$23,12,0),0),0)</f>
        <v>0</v>
      </c>
      <c r="W88" s="587">
        <f>IFERROR(IF(VLOOKUP(W$2,MODULY_CBA!$B$3:$N$23,13,0)&lt;='TCO TO BE- SW'!$D88,SUM('TCO TO BE- SW'!W$6:W$15)*VLOOKUP('TCO TO BE- SW'!W$2,MODULY_CBA!$B$3:$M$23,12,0),0),0)</f>
        <v>0</v>
      </c>
      <c r="X88" s="587">
        <f>IFERROR(IF(VLOOKUP(X$2,MODULY_CBA!$B$3:$N$23,13,0)&lt;='TCO TO BE- SW'!$D88,SUM('TCO TO BE- SW'!X$6:X$15)*VLOOKUP('TCO TO BE- SW'!X$2,MODULY_CBA!$B$3:$M$23,12,0),0),0)</f>
        <v>0</v>
      </c>
      <c r="Y88" s="587">
        <f>IFERROR(IF(VLOOKUP(Y$2,MODULY_CBA!$B$3:$N$23,13,0)&lt;='TCO TO BE- SW'!$D88,SUM('TCO TO BE- SW'!Y$6:Y$15)*VLOOKUP('TCO TO BE- SW'!Y$2,MODULY_CBA!$B$3:$M$23,12,0),0),0)</f>
        <v>0</v>
      </c>
      <c r="Z88" s="587">
        <f>IFERROR(IF(VLOOKUP(Z$2,MODULY_CBA!$B$3:$N$23,13,0)&lt;='TCO TO BE- SW'!$D88,SUM('TCO TO BE- SW'!Z$6:Z$15)*VLOOKUP('TCO TO BE- SW'!Z$2,MODULY_CBA!$B$3:$M$23,12,0),0),0)</f>
        <v>0</v>
      </c>
    </row>
    <row r="89" spans="1:26" outlineLevel="2">
      <c r="A89" s="824" t="s">
        <v>80</v>
      </c>
      <c r="B89" s="825" t="s">
        <v>71</v>
      </c>
      <c r="C89" s="825">
        <v>718006</v>
      </c>
      <c r="D89" s="63">
        <v>1</v>
      </c>
      <c r="E89" s="61">
        <f t="shared" si="12"/>
        <v>0</v>
      </c>
      <c r="F89" s="588">
        <f>IFERROR(IF(VLOOKUP(F$2,MODULY_CBA!$B$3:$N$23,13,0)&lt;='TCO TO BE- SW'!$D89,SUM('TCO TO BE- SW'!F$6:F$15)*VLOOKUP('TCO TO BE- SW'!F$2,MODULY_CBA!$B$3:$L$23,11,0),0),0)</f>
        <v>0</v>
      </c>
      <c r="G89" s="588">
        <f>IFERROR(IF(VLOOKUP(G$2,MODULY_CBA!$B$3:$N$23,13,0)&lt;='TCO TO BE- SW'!$D89,SUM('TCO TO BE- SW'!G$6:G$15)*VLOOKUP('TCO TO BE- SW'!G$2,MODULY_CBA!$B$3:$L$23,11,0),0),0)</f>
        <v>0</v>
      </c>
      <c r="H89" s="588">
        <f>IFERROR(IF(VLOOKUP(H$2,MODULY_CBA!$B$3:$N$23,13,0)&lt;='TCO TO BE- SW'!$D89,SUM('TCO TO BE- SW'!H$6:H$15)*VLOOKUP('TCO TO BE- SW'!H$2,MODULY_CBA!$B$3:$L$23,11,0),0),0)</f>
        <v>0</v>
      </c>
      <c r="I89" s="588">
        <f>IFERROR(IF(VLOOKUP(I$2,MODULY_CBA!$B$3:$N$23,13,0)&lt;='TCO TO BE- SW'!$D89,SUM('TCO TO BE- SW'!I$6:I$15)*VLOOKUP('TCO TO BE- SW'!I$2,MODULY_CBA!$B$3:$L$23,11,0),0),0)</f>
        <v>0</v>
      </c>
      <c r="J89" s="588">
        <f>IFERROR(IF(VLOOKUP(J$2,MODULY_CBA!$B$3:$N$23,13,0)&lt;='TCO TO BE- SW'!$D89,SUM('TCO TO BE- SW'!J$6:J$15)*VLOOKUP('TCO TO BE- SW'!J$2,MODULY_CBA!$B$3:$L$23,11,0),0),0)</f>
        <v>0</v>
      </c>
      <c r="K89" s="588">
        <f>IFERROR(IF(VLOOKUP(K$2,MODULY_CBA!$B$3:$N$23,13,0)&lt;='TCO TO BE- SW'!$D89,SUM('TCO TO BE- SW'!K$6:K$15)*VLOOKUP('TCO TO BE- SW'!K$2,MODULY_CBA!$B$3:$L$23,11,0),0),0)</f>
        <v>0</v>
      </c>
      <c r="L89" s="588">
        <f>IFERROR(IF(VLOOKUP(L$2,MODULY_CBA!$B$3:$N$23,13,0)&lt;='TCO TO BE- SW'!$D89,SUM('TCO TO BE- SW'!L$6:L$15)*VLOOKUP('TCO TO BE- SW'!L$2,MODULY_CBA!$B$3:$L$23,11,0),0),0)</f>
        <v>0</v>
      </c>
      <c r="M89" s="588">
        <f>IFERROR(IF(VLOOKUP(M$2,MODULY_CBA!$B$3:$N$23,13,0)&lt;='TCO TO BE- SW'!$D89,SUM('TCO TO BE- SW'!M$6:M$15)*VLOOKUP('TCO TO BE- SW'!M$2,MODULY_CBA!$B$3:$L$23,11,0),0),0)</f>
        <v>0</v>
      </c>
      <c r="N89" s="588">
        <f>IFERROR(IF(VLOOKUP(N$2,MODULY_CBA!$B$3:$N$23,13,0)&lt;='TCO TO BE- SW'!$D89,SUM('TCO TO BE- SW'!N$6:N$15)*VLOOKUP('TCO TO BE- SW'!N$2,MODULY_CBA!$B$3:$L$23,11,0),0),0)</f>
        <v>0</v>
      </c>
      <c r="O89" s="588">
        <f>IFERROR(IF(VLOOKUP(O$2,MODULY_CBA!$B$3:$N$23,13,0)&lt;='TCO TO BE- SW'!$D89,SUM('TCO TO BE- SW'!O$6:O$15)*VLOOKUP('TCO TO BE- SW'!O$2,MODULY_CBA!$B$3:$L$23,11,0),0),0)</f>
        <v>0</v>
      </c>
      <c r="P89" s="588">
        <f>IFERROR(IF(VLOOKUP(P$2,MODULY_CBA!$B$3:$N$23,13,0)&lt;='TCO TO BE- SW'!$D89,SUM('TCO TO BE- SW'!P$6:P$15)*VLOOKUP('TCO TO BE- SW'!P$2,MODULY_CBA!$B$3:$L$23,11,0),0),0)</f>
        <v>0</v>
      </c>
      <c r="Q89" s="588">
        <f>IFERROR(IF(VLOOKUP(Q$2,MODULY_CBA!$B$3:$N$23,13,0)&lt;='TCO TO BE- SW'!$D89,SUM('TCO TO BE- SW'!Q$6:Q$15)*VLOOKUP('TCO TO BE- SW'!Q$2,MODULY_CBA!$B$3:$L$23,11,0),0),0)</f>
        <v>0</v>
      </c>
      <c r="R89" s="588">
        <f>IFERROR(IF(VLOOKUP(R$2,MODULY_CBA!$B$3:$N$23,13,0)&lt;='TCO TO BE- SW'!$D89,SUM('TCO TO BE- SW'!R$6:R$15)*VLOOKUP('TCO TO BE- SW'!R$2,MODULY_CBA!$B$3:$L$23,11,0),0),0)</f>
        <v>0</v>
      </c>
      <c r="S89" s="588">
        <f>IFERROR(IF(VLOOKUP(S$2,MODULY_CBA!$B$3:$N$23,13,0)&lt;='TCO TO BE- SW'!$D89,SUM('TCO TO BE- SW'!S$6:S$15)*VLOOKUP('TCO TO BE- SW'!S$2,MODULY_CBA!$B$3:$L$23,11,0),0),0)</f>
        <v>0</v>
      </c>
      <c r="T89" s="588">
        <f>IFERROR(IF(VLOOKUP(T$2,MODULY_CBA!$B$3:$N$23,13,0)&lt;='TCO TO BE- SW'!$D89,SUM('TCO TO BE- SW'!T$6:T$15)*VLOOKUP('TCO TO BE- SW'!T$2,MODULY_CBA!$B$3:$L$23,11,0),0),0)</f>
        <v>0</v>
      </c>
      <c r="U89" s="588">
        <f>IFERROR(IF(VLOOKUP(U$2,MODULY_CBA!$B$3:$N$23,13,0)&lt;='TCO TO BE- SW'!$D89,SUM('TCO TO BE- SW'!U$6:U$15)*VLOOKUP('TCO TO BE- SW'!U$2,MODULY_CBA!$B$3:$L$23,11,0),0),0)</f>
        <v>0</v>
      </c>
      <c r="V89" s="588">
        <f>IFERROR(IF(VLOOKUP(V$2,MODULY_CBA!$B$3:$N$23,13,0)&lt;='TCO TO BE- SW'!$D89,SUM('TCO TO BE- SW'!V$6:V$15)*VLOOKUP('TCO TO BE- SW'!V$2,MODULY_CBA!$B$3:$L$23,11,0),0),0)</f>
        <v>0</v>
      </c>
      <c r="W89" s="588">
        <f>IFERROR(IF(VLOOKUP(W$2,MODULY_CBA!$B$3:$N$23,13,0)&lt;='TCO TO BE- SW'!$D89,SUM('TCO TO BE- SW'!W$6:W$15)*VLOOKUP('TCO TO BE- SW'!W$2,MODULY_CBA!$B$3:$L$23,11,0),0),0)</f>
        <v>0</v>
      </c>
      <c r="X89" s="588">
        <f>IFERROR(IF(VLOOKUP(X$2,MODULY_CBA!$B$3:$N$23,13,0)&lt;='TCO TO BE- SW'!$D89,SUM('TCO TO BE- SW'!X$6:X$15)*VLOOKUP('TCO TO BE- SW'!X$2,MODULY_CBA!$B$3:$L$23,11,0),0),0)</f>
        <v>0</v>
      </c>
      <c r="Y89" s="588">
        <f>IFERROR(IF(VLOOKUP(Y$2,MODULY_CBA!$B$3:$N$23,13,0)&lt;='TCO TO BE- SW'!$D89,SUM('TCO TO BE- SW'!Y$6:Y$15)*VLOOKUP('TCO TO BE- SW'!Y$2,MODULY_CBA!$B$3:$L$23,11,0),0),0)</f>
        <v>0</v>
      </c>
      <c r="Z89" s="588">
        <f>IFERROR(IF(VLOOKUP(Z$2,MODULY_CBA!$B$3:$N$23,13,0)&lt;='TCO TO BE- SW'!$D89,SUM('TCO TO BE- SW'!Z$6:Z$15)*VLOOKUP('TCO TO BE- SW'!Z$2,MODULY_CBA!$B$3:$L$23,11,0),0),0)</f>
        <v>0</v>
      </c>
    </row>
    <row r="90" spans="1:26" outlineLevel="2">
      <c r="A90" s="824"/>
      <c r="B90" s="825"/>
      <c r="C90" s="825"/>
      <c r="D90" s="64">
        <v>2</v>
      </c>
      <c r="E90" s="61">
        <f t="shared" si="12"/>
        <v>0</v>
      </c>
      <c r="F90" s="587">
        <f>IFERROR(IF(VLOOKUP(F$2,MODULY_CBA!$B$3:$N$23,13,0)&lt;='TCO TO BE- SW'!$D90,SUM('TCO TO BE- SW'!F$6:F$15)*VLOOKUP('TCO TO BE- SW'!F$2,MODULY_CBA!$B$3:$L$23,11,0),0),0)</f>
        <v>0</v>
      </c>
      <c r="G90" s="587">
        <f>IFERROR(IF(VLOOKUP(G$2,MODULY_CBA!$B$3:$N$23,13,0)&lt;='TCO TO BE- SW'!$D90,SUM('TCO TO BE- SW'!G$6:G$15)*VLOOKUP('TCO TO BE- SW'!G$2,MODULY_CBA!$B$3:$L$23,11,0),0),0)</f>
        <v>0</v>
      </c>
      <c r="H90" s="587">
        <f>IFERROR(IF(VLOOKUP(H$2,MODULY_CBA!$B$3:$N$23,13,0)&lt;='TCO TO BE- SW'!$D90,SUM('TCO TO BE- SW'!H$6:H$15)*VLOOKUP('TCO TO BE- SW'!H$2,MODULY_CBA!$B$3:$L$23,11,0),0),0)</f>
        <v>0</v>
      </c>
      <c r="I90" s="587">
        <f>IFERROR(IF(VLOOKUP(I$2,MODULY_CBA!$B$3:$N$23,13,0)&lt;='TCO TO BE- SW'!$D90,SUM('TCO TO BE- SW'!I$6:I$15)*VLOOKUP('TCO TO BE- SW'!I$2,MODULY_CBA!$B$3:$L$23,11,0),0),0)</f>
        <v>0</v>
      </c>
      <c r="J90" s="587">
        <f>IFERROR(IF(VLOOKUP(J$2,MODULY_CBA!$B$3:$N$23,13,0)&lt;='TCO TO BE- SW'!$D90,SUM('TCO TO BE- SW'!J$6:J$15)*VLOOKUP('TCO TO BE- SW'!J$2,MODULY_CBA!$B$3:$L$23,11,0),0),0)</f>
        <v>0</v>
      </c>
      <c r="K90" s="587">
        <f>IFERROR(IF(VLOOKUP(K$2,MODULY_CBA!$B$3:$N$23,13,0)&lt;='TCO TO BE- SW'!$D90,SUM('TCO TO BE- SW'!K$6:K$15)*VLOOKUP('TCO TO BE- SW'!K$2,MODULY_CBA!$B$3:$L$23,11,0),0),0)</f>
        <v>0</v>
      </c>
      <c r="L90" s="587">
        <f>IFERROR(IF(VLOOKUP(L$2,MODULY_CBA!$B$3:$N$23,13,0)&lt;='TCO TO BE- SW'!$D90,SUM('TCO TO BE- SW'!L$6:L$15)*VLOOKUP('TCO TO BE- SW'!L$2,MODULY_CBA!$B$3:$L$23,11,0),0),0)</f>
        <v>0</v>
      </c>
      <c r="M90" s="587">
        <f>IFERROR(IF(VLOOKUP(M$2,MODULY_CBA!$B$3:$N$23,13,0)&lt;='TCO TO BE- SW'!$D90,SUM('TCO TO BE- SW'!M$6:M$15)*VLOOKUP('TCO TO BE- SW'!M$2,MODULY_CBA!$B$3:$L$23,11,0),0),0)</f>
        <v>0</v>
      </c>
      <c r="N90" s="587">
        <f>IFERROR(IF(VLOOKUP(N$2,MODULY_CBA!$B$3:$N$23,13,0)&lt;='TCO TO BE- SW'!$D90,SUM('TCO TO BE- SW'!N$6:N$15)*VLOOKUP('TCO TO BE- SW'!N$2,MODULY_CBA!$B$3:$L$23,11,0),0),0)</f>
        <v>0</v>
      </c>
      <c r="O90" s="587">
        <f>IFERROR(IF(VLOOKUP(O$2,MODULY_CBA!$B$3:$N$23,13,0)&lt;='TCO TO BE- SW'!$D90,SUM('TCO TO BE- SW'!O$6:O$15)*VLOOKUP('TCO TO BE- SW'!O$2,MODULY_CBA!$B$3:$L$23,11,0),0),0)</f>
        <v>0</v>
      </c>
      <c r="P90" s="587">
        <f>IFERROR(IF(VLOOKUP(P$2,MODULY_CBA!$B$3:$N$23,13,0)&lt;='TCO TO BE- SW'!$D90,SUM('TCO TO BE- SW'!P$6:P$15)*VLOOKUP('TCO TO BE- SW'!P$2,MODULY_CBA!$B$3:$L$23,11,0),0),0)</f>
        <v>0</v>
      </c>
      <c r="Q90" s="587">
        <f>IFERROR(IF(VLOOKUP(Q$2,MODULY_CBA!$B$3:$N$23,13,0)&lt;='TCO TO BE- SW'!$D90,SUM('TCO TO BE- SW'!Q$6:Q$15)*VLOOKUP('TCO TO BE- SW'!Q$2,MODULY_CBA!$B$3:$L$23,11,0),0),0)</f>
        <v>0</v>
      </c>
      <c r="R90" s="587">
        <f>IFERROR(IF(VLOOKUP(R$2,MODULY_CBA!$B$3:$N$23,13,0)&lt;='TCO TO BE- SW'!$D90,SUM('TCO TO BE- SW'!R$6:R$15)*VLOOKUP('TCO TO BE- SW'!R$2,MODULY_CBA!$B$3:$L$23,11,0),0),0)</f>
        <v>0</v>
      </c>
      <c r="S90" s="587">
        <f>IFERROR(IF(VLOOKUP(S$2,MODULY_CBA!$B$3:$N$23,13,0)&lt;='TCO TO BE- SW'!$D90,SUM('TCO TO BE- SW'!S$6:S$15)*VLOOKUP('TCO TO BE- SW'!S$2,MODULY_CBA!$B$3:$L$23,11,0),0),0)</f>
        <v>0</v>
      </c>
      <c r="T90" s="587">
        <f>IFERROR(IF(VLOOKUP(T$2,MODULY_CBA!$B$3:$N$23,13,0)&lt;='TCO TO BE- SW'!$D90,SUM('TCO TO BE- SW'!T$6:T$15)*VLOOKUP('TCO TO BE- SW'!T$2,MODULY_CBA!$B$3:$L$23,11,0),0),0)</f>
        <v>0</v>
      </c>
      <c r="U90" s="587">
        <f>IFERROR(IF(VLOOKUP(U$2,MODULY_CBA!$B$3:$N$23,13,0)&lt;='TCO TO BE- SW'!$D90,SUM('TCO TO BE- SW'!U$6:U$15)*VLOOKUP('TCO TO BE- SW'!U$2,MODULY_CBA!$B$3:$L$23,11,0),0),0)</f>
        <v>0</v>
      </c>
      <c r="V90" s="587">
        <f>IFERROR(IF(VLOOKUP(V$2,MODULY_CBA!$B$3:$N$23,13,0)&lt;='TCO TO BE- SW'!$D90,SUM('TCO TO BE- SW'!V$6:V$15)*VLOOKUP('TCO TO BE- SW'!V$2,MODULY_CBA!$B$3:$L$23,11,0),0),0)</f>
        <v>0</v>
      </c>
      <c r="W90" s="587">
        <f>IFERROR(IF(VLOOKUP(W$2,MODULY_CBA!$B$3:$N$23,13,0)&lt;='TCO TO BE- SW'!$D90,SUM('TCO TO BE- SW'!W$6:W$15)*VLOOKUP('TCO TO BE- SW'!W$2,MODULY_CBA!$B$3:$L$23,11,0),0),0)</f>
        <v>0</v>
      </c>
      <c r="X90" s="587">
        <f>IFERROR(IF(VLOOKUP(X$2,MODULY_CBA!$B$3:$N$23,13,0)&lt;='TCO TO BE- SW'!$D90,SUM('TCO TO BE- SW'!X$6:X$15)*VLOOKUP('TCO TO BE- SW'!X$2,MODULY_CBA!$B$3:$L$23,11,0),0),0)</f>
        <v>0</v>
      </c>
      <c r="Y90" s="587">
        <f>IFERROR(IF(VLOOKUP(Y$2,MODULY_CBA!$B$3:$N$23,13,0)&lt;='TCO TO BE- SW'!$D90,SUM('TCO TO BE- SW'!Y$6:Y$15)*VLOOKUP('TCO TO BE- SW'!Y$2,MODULY_CBA!$B$3:$L$23,11,0),0),0)</f>
        <v>0</v>
      </c>
      <c r="Z90" s="587">
        <f>IFERROR(IF(VLOOKUP(Z$2,MODULY_CBA!$B$3:$N$23,13,0)&lt;='TCO TO BE- SW'!$D90,SUM('TCO TO BE- SW'!Z$6:Z$15)*VLOOKUP('TCO TO BE- SW'!Z$2,MODULY_CBA!$B$3:$L$23,11,0),0),0)</f>
        <v>0</v>
      </c>
    </row>
    <row r="91" spans="1:26" outlineLevel="2">
      <c r="A91" s="824"/>
      <c r="B91" s="825"/>
      <c r="C91" s="825"/>
      <c r="D91" s="64">
        <v>3</v>
      </c>
      <c r="E91" s="61">
        <f t="shared" si="12"/>
        <v>0</v>
      </c>
      <c r="F91" s="587">
        <f>IFERROR(IF(VLOOKUP(F$2,MODULY_CBA!$B$3:$N$23,13,0)&lt;='TCO TO BE- SW'!$D91,SUM('TCO TO BE- SW'!F$6:F$15)*VLOOKUP('TCO TO BE- SW'!F$2,MODULY_CBA!$B$3:$L$23,11,0),0),0)</f>
        <v>0</v>
      </c>
      <c r="G91" s="587">
        <f>IFERROR(IF(VLOOKUP(G$2,MODULY_CBA!$B$3:$N$23,13,0)&lt;='TCO TO BE- SW'!$D91,SUM('TCO TO BE- SW'!G$6:G$15)*VLOOKUP('TCO TO BE- SW'!G$2,MODULY_CBA!$B$3:$L$23,11,0),0),0)</f>
        <v>0</v>
      </c>
      <c r="H91" s="587">
        <f>IFERROR(IF(VLOOKUP(H$2,MODULY_CBA!$B$3:$N$23,13,0)&lt;='TCO TO BE- SW'!$D91,SUM('TCO TO BE- SW'!H$6:H$15)*VLOOKUP('TCO TO BE- SW'!H$2,MODULY_CBA!$B$3:$L$23,11,0),0),0)</f>
        <v>0</v>
      </c>
      <c r="I91" s="587">
        <f>IFERROR(IF(VLOOKUP(I$2,MODULY_CBA!$B$3:$N$23,13,0)&lt;='TCO TO BE- SW'!$D91,SUM('TCO TO BE- SW'!I$6:I$15)*VLOOKUP('TCO TO BE- SW'!I$2,MODULY_CBA!$B$3:$L$23,11,0),0),0)</f>
        <v>0</v>
      </c>
      <c r="J91" s="587">
        <f>IFERROR(IF(VLOOKUP(J$2,MODULY_CBA!$B$3:$N$23,13,0)&lt;='TCO TO BE- SW'!$D91,SUM('TCO TO BE- SW'!J$6:J$15)*VLOOKUP('TCO TO BE- SW'!J$2,MODULY_CBA!$B$3:$L$23,11,0),0),0)</f>
        <v>0</v>
      </c>
      <c r="K91" s="587">
        <f>IFERROR(IF(VLOOKUP(K$2,MODULY_CBA!$B$3:$N$23,13,0)&lt;='TCO TO BE- SW'!$D91,SUM('TCO TO BE- SW'!K$6:K$15)*VLOOKUP('TCO TO BE- SW'!K$2,MODULY_CBA!$B$3:$L$23,11,0),0),0)</f>
        <v>0</v>
      </c>
      <c r="L91" s="587">
        <f>IFERROR(IF(VLOOKUP(L$2,MODULY_CBA!$B$3:$N$23,13,0)&lt;='TCO TO BE- SW'!$D91,SUM('TCO TO BE- SW'!L$6:L$15)*VLOOKUP('TCO TO BE- SW'!L$2,MODULY_CBA!$B$3:$L$23,11,0),0),0)</f>
        <v>0</v>
      </c>
      <c r="M91" s="587">
        <f>IFERROR(IF(VLOOKUP(M$2,MODULY_CBA!$B$3:$N$23,13,0)&lt;='TCO TO BE- SW'!$D91,SUM('TCO TO BE- SW'!M$6:M$15)*VLOOKUP('TCO TO BE- SW'!M$2,MODULY_CBA!$B$3:$L$23,11,0),0),0)</f>
        <v>0</v>
      </c>
      <c r="N91" s="587">
        <f>IFERROR(IF(VLOOKUP(N$2,MODULY_CBA!$B$3:$N$23,13,0)&lt;='TCO TO BE- SW'!$D91,SUM('TCO TO BE- SW'!N$6:N$15)*VLOOKUP('TCO TO BE- SW'!N$2,MODULY_CBA!$B$3:$L$23,11,0),0),0)</f>
        <v>0</v>
      </c>
      <c r="O91" s="587">
        <f>IFERROR(IF(VLOOKUP(O$2,MODULY_CBA!$B$3:$N$23,13,0)&lt;='TCO TO BE- SW'!$D91,SUM('TCO TO BE- SW'!O$6:O$15)*VLOOKUP('TCO TO BE- SW'!O$2,MODULY_CBA!$B$3:$L$23,11,0),0),0)</f>
        <v>0</v>
      </c>
      <c r="P91" s="587">
        <f>IFERROR(IF(VLOOKUP(P$2,MODULY_CBA!$B$3:$N$23,13,0)&lt;='TCO TO BE- SW'!$D91,SUM('TCO TO BE- SW'!P$6:P$15)*VLOOKUP('TCO TO BE- SW'!P$2,MODULY_CBA!$B$3:$L$23,11,0),0),0)</f>
        <v>0</v>
      </c>
      <c r="Q91" s="587">
        <f>IFERROR(IF(VLOOKUP(Q$2,MODULY_CBA!$B$3:$N$23,13,0)&lt;='TCO TO BE- SW'!$D91,SUM('TCO TO BE- SW'!Q$6:Q$15)*VLOOKUP('TCO TO BE- SW'!Q$2,MODULY_CBA!$B$3:$L$23,11,0),0),0)</f>
        <v>0</v>
      </c>
      <c r="R91" s="587">
        <f>IFERROR(IF(VLOOKUP(R$2,MODULY_CBA!$B$3:$N$23,13,0)&lt;='TCO TO BE- SW'!$D91,SUM('TCO TO BE- SW'!R$6:R$15)*VLOOKUP('TCO TO BE- SW'!R$2,MODULY_CBA!$B$3:$L$23,11,0),0),0)</f>
        <v>0</v>
      </c>
      <c r="S91" s="587">
        <f>IFERROR(IF(VLOOKUP(S$2,MODULY_CBA!$B$3:$N$23,13,0)&lt;='TCO TO BE- SW'!$D91,SUM('TCO TO BE- SW'!S$6:S$15)*VLOOKUP('TCO TO BE- SW'!S$2,MODULY_CBA!$B$3:$L$23,11,0),0),0)</f>
        <v>0</v>
      </c>
      <c r="T91" s="587">
        <f>IFERROR(IF(VLOOKUP(T$2,MODULY_CBA!$B$3:$N$23,13,0)&lt;='TCO TO BE- SW'!$D91,SUM('TCO TO BE- SW'!T$6:T$15)*VLOOKUP('TCO TO BE- SW'!T$2,MODULY_CBA!$B$3:$L$23,11,0),0),0)</f>
        <v>0</v>
      </c>
      <c r="U91" s="587">
        <f>IFERROR(IF(VLOOKUP(U$2,MODULY_CBA!$B$3:$N$23,13,0)&lt;='TCO TO BE- SW'!$D91,SUM('TCO TO BE- SW'!U$6:U$15)*VLOOKUP('TCO TO BE- SW'!U$2,MODULY_CBA!$B$3:$L$23,11,0),0),0)</f>
        <v>0</v>
      </c>
      <c r="V91" s="587">
        <f>IFERROR(IF(VLOOKUP(V$2,MODULY_CBA!$B$3:$N$23,13,0)&lt;='TCO TO BE- SW'!$D91,SUM('TCO TO BE- SW'!V$6:V$15)*VLOOKUP('TCO TO BE- SW'!V$2,MODULY_CBA!$B$3:$L$23,11,0),0),0)</f>
        <v>0</v>
      </c>
      <c r="W91" s="587">
        <f>IFERROR(IF(VLOOKUP(W$2,MODULY_CBA!$B$3:$N$23,13,0)&lt;='TCO TO BE- SW'!$D91,SUM('TCO TO BE- SW'!W$6:W$15)*VLOOKUP('TCO TO BE- SW'!W$2,MODULY_CBA!$B$3:$L$23,11,0),0),0)</f>
        <v>0</v>
      </c>
      <c r="X91" s="587">
        <f>IFERROR(IF(VLOOKUP(X$2,MODULY_CBA!$B$3:$N$23,13,0)&lt;='TCO TO BE- SW'!$D91,SUM('TCO TO BE- SW'!X$6:X$15)*VLOOKUP('TCO TO BE- SW'!X$2,MODULY_CBA!$B$3:$L$23,11,0),0),0)</f>
        <v>0</v>
      </c>
      <c r="Y91" s="587">
        <f>IFERROR(IF(VLOOKUP(Y$2,MODULY_CBA!$B$3:$N$23,13,0)&lt;='TCO TO BE- SW'!$D91,SUM('TCO TO BE- SW'!Y$6:Y$15)*VLOOKUP('TCO TO BE- SW'!Y$2,MODULY_CBA!$B$3:$L$23,11,0),0),0)</f>
        <v>0</v>
      </c>
      <c r="Z91" s="587">
        <f>IFERROR(IF(VLOOKUP(Z$2,MODULY_CBA!$B$3:$N$23,13,0)&lt;='TCO TO BE- SW'!$D91,SUM('TCO TO BE- SW'!Z$6:Z$15)*VLOOKUP('TCO TO BE- SW'!Z$2,MODULY_CBA!$B$3:$L$23,11,0),0),0)</f>
        <v>0</v>
      </c>
    </row>
    <row r="92" spans="1:26" outlineLevel="2">
      <c r="A92" s="824"/>
      <c r="B92" s="825"/>
      <c r="C92" s="825"/>
      <c r="D92" s="64">
        <v>4</v>
      </c>
      <c r="E92" s="61">
        <f t="shared" si="12"/>
        <v>0</v>
      </c>
      <c r="F92" s="587">
        <f>IFERROR(IF(VLOOKUP(F$2,MODULY_CBA!$B$3:$N$23,13,0)&lt;='TCO TO BE- SW'!$D92,SUM('TCO TO BE- SW'!F$6:F$15)*VLOOKUP('TCO TO BE- SW'!F$2,MODULY_CBA!$B$3:$L$23,11,0),0),0)</f>
        <v>0</v>
      </c>
      <c r="G92" s="587">
        <f>IFERROR(IF(VLOOKUP(G$2,MODULY_CBA!$B$3:$N$23,13,0)&lt;='TCO TO BE- SW'!$D92,SUM('TCO TO BE- SW'!G$6:G$15)*VLOOKUP('TCO TO BE- SW'!G$2,MODULY_CBA!$B$3:$L$23,11,0),0),0)</f>
        <v>0</v>
      </c>
      <c r="H92" s="587">
        <f>IFERROR(IF(VLOOKUP(H$2,MODULY_CBA!$B$3:$N$23,13,0)&lt;='TCO TO BE- SW'!$D92,SUM('TCO TO BE- SW'!H$6:H$15)*VLOOKUP('TCO TO BE- SW'!H$2,MODULY_CBA!$B$3:$L$23,11,0),0),0)</f>
        <v>0</v>
      </c>
      <c r="I92" s="587">
        <f>IFERROR(IF(VLOOKUP(I$2,MODULY_CBA!$B$3:$N$23,13,0)&lt;='TCO TO BE- SW'!$D92,SUM('TCO TO BE- SW'!I$6:I$15)*VLOOKUP('TCO TO BE- SW'!I$2,MODULY_CBA!$B$3:$L$23,11,0),0),0)</f>
        <v>0</v>
      </c>
      <c r="J92" s="587">
        <f>IFERROR(IF(VLOOKUP(J$2,MODULY_CBA!$B$3:$N$23,13,0)&lt;='TCO TO BE- SW'!$D92,SUM('TCO TO BE- SW'!J$6:J$15)*VLOOKUP('TCO TO BE- SW'!J$2,MODULY_CBA!$B$3:$L$23,11,0),0),0)</f>
        <v>0</v>
      </c>
      <c r="K92" s="587">
        <f>IFERROR(IF(VLOOKUP(K$2,MODULY_CBA!$B$3:$N$23,13,0)&lt;='TCO TO BE- SW'!$D92,SUM('TCO TO BE- SW'!K$6:K$15)*VLOOKUP('TCO TO BE- SW'!K$2,MODULY_CBA!$B$3:$L$23,11,0),0),0)</f>
        <v>0</v>
      </c>
      <c r="L92" s="587">
        <f>IFERROR(IF(VLOOKUP(L$2,MODULY_CBA!$B$3:$N$23,13,0)&lt;='TCO TO BE- SW'!$D92,SUM('TCO TO BE- SW'!L$6:L$15)*VLOOKUP('TCO TO BE- SW'!L$2,MODULY_CBA!$B$3:$L$23,11,0),0),0)</f>
        <v>0</v>
      </c>
      <c r="M92" s="587">
        <f>IFERROR(IF(VLOOKUP(M$2,MODULY_CBA!$B$3:$N$23,13,0)&lt;='TCO TO BE- SW'!$D92,SUM('TCO TO BE- SW'!M$6:M$15)*VLOOKUP('TCO TO BE- SW'!M$2,MODULY_CBA!$B$3:$L$23,11,0),0),0)</f>
        <v>0</v>
      </c>
      <c r="N92" s="587">
        <f>IFERROR(IF(VLOOKUP(N$2,MODULY_CBA!$B$3:$N$23,13,0)&lt;='TCO TO BE- SW'!$D92,SUM('TCO TO BE- SW'!N$6:N$15)*VLOOKUP('TCO TO BE- SW'!N$2,MODULY_CBA!$B$3:$L$23,11,0),0),0)</f>
        <v>0</v>
      </c>
      <c r="O92" s="587">
        <f>IFERROR(IF(VLOOKUP(O$2,MODULY_CBA!$B$3:$N$23,13,0)&lt;='TCO TO BE- SW'!$D92,SUM('TCO TO BE- SW'!O$6:O$15)*VLOOKUP('TCO TO BE- SW'!O$2,MODULY_CBA!$B$3:$L$23,11,0),0),0)</f>
        <v>0</v>
      </c>
      <c r="P92" s="587">
        <f>IFERROR(IF(VLOOKUP(P$2,MODULY_CBA!$B$3:$N$23,13,0)&lt;='TCO TO BE- SW'!$D92,SUM('TCO TO BE- SW'!P$6:P$15)*VLOOKUP('TCO TO BE- SW'!P$2,MODULY_CBA!$B$3:$L$23,11,0),0),0)</f>
        <v>0</v>
      </c>
      <c r="Q92" s="587">
        <f>IFERROR(IF(VLOOKUP(Q$2,MODULY_CBA!$B$3:$N$23,13,0)&lt;='TCO TO BE- SW'!$D92,SUM('TCO TO BE- SW'!Q$6:Q$15)*VLOOKUP('TCO TO BE- SW'!Q$2,MODULY_CBA!$B$3:$L$23,11,0),0),0)</f>
        <v>0</v>
      </c>
      <c r="R92" s="587">
        <f>IFERROR(IF(VLOOKUP(R$2,MODULY_CBA!$B$3:$N$23,13,0)&lt;='TCO TO BE- SW'!$D92,SUM('TCO TO BE- SW'!R$6:R$15)*VLOOKUP('TCO TO BE- SW'!R$2,MODULY_CBA!$B$3:$L$23,11,0),0),0)</f>
        <v>0</v>
      </c>
      <c r="S92" s="587">
        <f>IFERROR(IF(VLOOKUP(S$2,MODULY_CBA!$B$3:$N$23,13,0)&lt;='TCO TO BE- SW'!$D92,SUM('TCO TO BE- SW'!S$6:S$15)*VLOOKUP('TCO TO BE- SW'!S$2,MODULY_CBA!$B$3:$L$23,11,0),0),0)</f>
        <v>0</v>
      </c>
      <c r="T92" s="587">
        <f>IFERROR(IF(VLOOKUP(T$2,MODULY_CBA!$B$3:$N$23,13,0)&lt;='TCO TO BE- SW'!$D92,SUM('TCO TO BE- SW'!T$6:T$15)*VLOOKUP('TCO TO BE- SW'!T$2,MODULY_CBA!$B$3:$L$23,11,0),0),0)</f>
        <v>0</v>
      </c>
      <c r="U92" s="587">
        <f>IFERROR(IF(VLOOKUP(U$2,MODULY_CBA!$B$3:$N$23,13,0)&lt;='TCO TO BE- SW'!$D92,SUM('TCO TO BE- SW'!U$6:U$15)*VLOOKUP('TCO TO BE- SW'!U$2,MODULY_CBA!$B$3:$L$23,11,0),0),0)</f>
        <v>0</v>
      </c>
      <c r="V92" s="587">
        <f>IFERROR(IF(VLOOKUP(V$2,MODULY_CBA!$B$3:$N$23,13,0)&lt;='TCO TO BE- SW'!$D92,SUM('TCO TO BE- SW'!V$6:V$15)*VLOOKUP('TCO TO BE- SW'!V$2,MODULY_CBA!$B$3:$L$23,11,0),0),0)</f>
        <v>0</v>
      </c>
      <c r="W92" s="587">
        <f>IFERROR(IF(VLOOKUP(W$2,MODULY_CBA!$B$3:$N$23,13,0)&lt;='TCO TO BE- SW'!$D92,SUM('TCO TO BE- SW'!W$6:W$15)*VLOOKUP('TCO TO BE- SW'!W$2,MODULY_CBA!$B$3:$L$23,11,0),0),0)</f>
        <v>0</v>
      </c>
      <c r="X92" s="587">
        <f>IFERROR(IF(VLOOKUP(X$2,MODULY_CBA!$B$3:$N$23,13,0)&lt;='TCO TO BE- SW'!$D92,SUM('TCO TO BE- SW'!X$6:X$15)*VLOOKUP('TCO TO BE- SW'!X$2,MODULY_CBA!$B$3:$L$23,11,0),0),0)</f>
        <v>0</v>
      </c>
      <c r="Y92" s="587">
        <f>IFERROR(IF(VLOOKUP(Y$2,MODULY_CBA!$B$3:$N$23,13,0)&lt;='TCO TO BE- SW'!$D92,SUM('TCO TO BE- SW'!Y$6:Y$15)*VLOOKUP('TCO TO BE- SW'!Y$2,MODULY_CBA!$B$3:$L$23,11,0),0),0)</f>
        <v>0</v>
      </c>
      <c r="Z92" s="587">
        <f>IFERROR(IF(VLOOKUP(Z$2,MODULY_CBA!$B$3:$N$23,13,0)&lt;='TCO TO BE- SW'!$D92,SUM('TCO TO BE- SW'!Z$6:Z$15)*VLOOKUP('TCO TO BE- SW'!Z$2,MODULY_CBA!$B$3:$L$23,11,0),0),0)</f>
        <v>0</v>
      </c>
    </row>
    <row r="93" spans="1:26" outlineLevel="2">
      <c r="A93" s="824"/>
      <c r="B93" s="825"/>
      <c r="C93" s="825"/>
      <c r="D93" s="64">
        <v>5</v>
      </c>
      <c r="E93" s="61">
        <f t="shared" si="12"/>
        <v>0</v>
      </c>
      <c r="F93" s="587">
        <f>IFERROR(IF(VLOOKUP(F$2,MODULY_CBA!$B$3:$N$23,13,0)&lt;='TCO TO BE- SW'!$D93,SUM('TCO TO BE- SW'!F$6:F$15)*VLOOKUP('TCO TO BE- SW'!F$2,MODULY_CBA!$B$3:$L$23,11,0),0),0)</f>
        <v>0</v>
      </c>
      <c r="G93" s="587">
        <f>IFERROR(IF(VLOOKUP(G$2,MODULY_CBA!$B$3:$N$23,13,0)&lt;='TCO TO BE- SW'!$D93,SUM('TCO TO BE- SW'!G$6:G$15)*VLOOKUP('TCO TO BE- SW'!G$2,MODULY_CBA!$B$3:$L$23,11,0),0),0)</f>
        <v>0</v>
      </c>
      <c r="H93" s="587">
        <f>IFERROR(IF(VLOOKUP(H$2,MODULY_CBA!$B$3:$N$23,13,0)&lt;='TCO TO BE- SW'!$D93,SUM('TCO TO BE- SW'!H$6:H$15)*VLOOKUP('TCO TO BE- SW'!H$2,MODULY_CBA!$B$3:$L$23,11,0),0),0)</f>
        <v>0</v>
      </c>
      <c r="I93" s="587">
        <f>IFERROR(IF(VLOOKUP(I$2,MODULY_CBA!$B$3:$N$23,13,0)&lt;='TCO TO BE- SW'!$D93,SUM('TCO TO BE- SW'!I$6:I$15)*VLOOKUP('TCO TO BE- SW'!I$2,MODULY_CBA!$B$3:$L$23,11,0),0),0)</f>
        <v>0</v>
      </c>
      <c r="J93" s="587">
        <f>IFERROR(IF(VLOOKUP(J$2,MODULY_CBA!$B$3:$N$23,13,0)&lt;='TCO TO BE- SW'!$D93,SUM('TCO TO BE- SW'!J$6:J$15)*VLOOKUP('TCO TO BE- SW'!J$2,MODULY_CBA!$B$3:$L$23,11,0),0),0)</f>
        <v>0</v>
      </c>
      <c r="K93" s="587">
        <f>IFERROR(IF(VLOOKUP(K$2,MODULY_CBA!$B$3:$N$23,13,0)&lt;='TCO TO BE- SW'!$D93,SUM('TCO TO BE- SW'!K$6:K$15)*VLOOKUP('TCO TO BE- SW'!K$2,MODULY_CBA!$B$3:$L$23,11,0),0),0)</f>
        <v>0</v>
      </c>
      <c r="L93" s="587">
        <f>IFERROR(IF(VLOOKUP(L$2,MODULY_CBA!$B$3:$N$23,13,0)&lt;='TCO TO BE- SW'!$D93,SUM('TCO TO BE- SW'!L$6:L$15)*VLOOKUP('TCO TO BE- SW'!L$2,MODULY_CBA!$B$3:$L$23,11,0),0),0)</f>
        <v>0</v>
      </c>
      <c r="M93" s="587">
        <f>IFERROR(IF(VLOOKUP(M$2,MODULY_CBA!$B$3:$N$23,13,0)&lt;='TCO TO BE- SW'!$D93,SUM('TCO TO BE- SW'!M$6:M$15)*VLOOKUP('TCO TO BE- SW'!M$2,MODULY_CBA!$B$3:$L$23,11,0),0),0)</f>
        <v>0</v>
      </c>
      <c r="N93" s="587">
        <f>IFERROR(IF(VLOOKUP(N$2,MODULY_CBA!$B$3:$N$23,13,0)&lt;='TCO TO BE- SW'!$D93,SUM('TCO TO BE- SW'!N$6:N$15)*VLOOKUP('TCO TO BE- SW'!N$2,MODULY_CBA!$B$3:$L$23,11,0),0),0)</f>
        <v>0</v>
      </c>
      <c r="O93" s="587">
        <f>IFERROR(IF(VLOOKUP(O$2,MODULY_CBA!$B$3:$N$23,13,0)&lt;='TCO TO BE- SW'!$D93,SUM('TCO TO BE- SW'!O$6:O$15)*VLOOKUP('TCO TO BE- SW'!O$2,MODULY_CBA!$B$3:$L$23,11,0),0),0)</f>
        <v>0</v>
      </c>
      <c r="P93" s="587">
        <f>IFERROR(IF(VLOOKUP(P$2,MODULY_CBA!$B$3:$N$23,13,0)&lt;='TCO TO BE- SW'!$D93,SUM('TCO TO BE- SW'!P$6:P$15)*VLOOKUP('TCO TO BE- SW'!P$2,MODULY_CBA!$B$3:$L$23,11,0),0),0)</f>
        <v>0</v>
      </c>
      <c r="Q93" s="587">
        <f>IFERROR(IF(VLOOKUP(Q$2,MODULY_CBA!$B$3:$N$23,13,0)&lt;='TCO TO BE- SW'!$D93,SUM('TCO TO BE- SW'!Q$6:Q$15)*VLOOKUP('TCO TO BE- SW'!Q$2,MODULY_CBA!$B$3:$L$23,11,0),0),0)</f>
        <v>0</v>
      </c>
      <c r="R93" s="587">
        <f>IFERROR(IF(VLOOKUP(R$2,MODULY_CBA!$B$3:$N$23,13,0)&lt;='TCO TO BE- SW'!$D93,SUM('TCO TO BE- SW'!R$6:R$15)*VLOOKUP('TCO TO BE- SW'!R$2,MODULY_CBA!$B$3:$L$23,11,0),0),0)</f>
        <v>0</v>
      </c>
      <c r="S93" s="587">
        <f>IFERROR(IF(VLOOKUP(S$2,MODULY_CBA!$B$3:$N$23,13,0)&lt;='TCO TO BE- SW'!$D93,SUM('TCO TO BE- SW'!S$6:S$15)*VLOOKUP('TCO TO BE- SW'!S$2,MODULY_CBA!$B$3:$L$23,11,0),0),0)</f>
        <v>0</v>
      </c>
      <c r="T93" s="587">
        <f>IFERROR(IF(VLOOKUP(T$2,MODULY_CBA!$B$3:$N$23,13,0)&lt;='TCO TO BE- SW'!$D93,SUM('TCO TO BE- SW'!T$6:T$15)*VLOOKUP('TCO TO BE- SW'!T$2,MODULY_CBA!$B$3:$L$23,11,0),0),0)</f>
        <v>0</v>
      </c>
      <c r="U93" s="587">
        <f>IFERROR(IF(VLOOKUP(U$2,MODULY_CBA!$B$3:$N$23,13,0)&lt;='TCO TO BE- SW'!$D93,SUM('TCO TO BE- SW'!U$6:U$15)*VLOOKUP('TCO TO BE- SW'!U$2,MODULY_CBA!$B$3:$L$23,11,0),0),0)</f>
        <v>0</v>
      </c>
      <c r="V93" s="587">
        <f>IFERROR(IF(VLOOKUP(V$2,MODULY_CBA!$B$3:$N$23,13,0)&lt;='TCO TO BE- SW'!$D93,SUM('TCO TO BE- SW'!V$6:V$15)*VLOOKUP('TCO TO BE- SW'!V$2,MODULY_CBA!$B$3:$L$23,11,0),0),0)</f>
        <v>0</v>
      </c>
      <c r="W93" s="587">
        <f>IFERROR(IF(VLOOKUP(W$2,MODULY_CBA!$B$3:$N$23,13,0)&lt;='TCO TO BE- SW'!$D93,SUM('TCO TO BE- SW'!W$6:W$15)*VLOOKUP('TCO TO BE- SW'!W$2,MODULY_CBA!$B$3:$L$23,11,0),0),0)</f>
        <v>0</v>
      </c>
      <c r="X93" s="587">
        <f>IFERROR(IF(VLOOKUP(X$2,MODULY_CBA!$B$3:$N$23,13,0)&lt;='TCO TO BE- SW'!$D93,SUM('TCO TO BE- SW'!X$6:X$15)*VLOOKUP('TCO TO BE- SW'!X$2,MODULY_CBA!$B$3:$L$23,11,0),0),0)</f>
        <v>0</v>
      </c>
      <c r="Y93" s="587">
        <f>IFERROR(IF(VLOOKUP(Y$2,MODULY_CBA!$B$3:$N$23,13,0)&lt;='TCO TO BE- SW'!$D93,SUM('TCO TO BE- SW'!Y$6:Y$15)*VLOOKUP('TCO TO BE- SW'!Y$2,MODULY_CBA!$B$3:$L$23,11,0),0),0)</f>
        <v>0</v>
      </c>
      <c r="Z93" s="587">
        <f>IFERROR(IF(VLOOKUP(Z$2,MODULY_CBA!$B$3:$N$23,13,0)&lt;='TCO TO BE- SW'!$D93,SUM('TCO TO BE- SW'!Z$6:Z$15)*VLOOKUP('TCO TO BE- SW'!Z$2,MODULY_CBA!$B$3:$L$23,11,0),0),0)</f>
        <v>0</v>
      </c>
    </row>
    <row r="94" spans="1:26" outlineLevel="2">
      <c r="A94" s="824"/>
      <c r="B94" s="825"/>
      <c r="C94" s="825"/>
      <c r="D94" s="64">
        <v>6</v>
      </c>
      <c r="E94" s="61">
        <f t="shared" si="12"/>
        <v>0</v>
      </c>
      <c r="F94" s="587">
        <f>IFERROR(IF(VLOOKUP(F$2,MODULY_CBA!$B$3:$N$23,13,0)&lt;='TCO TO BE- SW'!$D94,SUM('TCO TO BE- SW'!F$6:F$15)*VLOOKUP('TCO TO BE- SW'!F$2,MODULY_CBA!$B$3:$L$23,11,0),0),0)</f>
        <v>0</v>
      </c>
      <c r="G94" s="587">
        <f>IFERROR(IF(VLOOKUP(G$2,MODULY_CBA!$B$3:$N$23,13,0)&lt;='TCO TO BE- SW'!$D94,SUM('TCO TO BE- SW'!G$6:G$15)*VLOOKUP('TCO TO BE- SW'!G$2,MODULY_CBA!$B$3:$L$23,11,0),0),0)</f>
        <v>0</v>
      </c>
      <c r="H94" s="587">
        <f>IFERROR(IF(VLOOKUP(H$2,MODULY_CBA!$B$3:$N$23,13,0)&lt;='TCO TO BE- SW'!$D94,SUM('TCO TO BE- SW'!H$6:H$15)*VLOOKUP('TCO TO BE- SW'!H$2,MODULY_CBA!$B$3:$L$23,11,0),0),0)</f>
        <v>0</v>
      </c>
      <c r="I94" s="587">
        <f>IFERROR(IF(VLOOKUP(I$2,MODULY_CBA!$B$3:$N$23,13,0)&lt;='TCO TO BE- SW'!$D94,SUM('TCO TO BE- SW'!I$6:I$15)*VLOOKUP('TCO TO BE- SW'!I$2,MODULY_CBA!$B$3:$L$23,11,0),0),0)</f>
        <v>0</v>
      </c>
      <c r="J94" s="587">
        <f>IFERROR(IF(VLOOKUP(J$2,MODULY_CBA!$B$3:$N$23,13,0)&lt;='TCO TO BE- SW'!$D94,SUM('TCO TO BE- SW'!J$6:J$15)*VLOOKUP('TCO TO BE- SW'!J$2,MODULY_CBA!$B$3:$L$23,11,0),0),0)</f>
        <v>0</v>
      </c>
      <c r="K94" s="587">
        <f>IFERROR(IF(VLOOKUP(K$2,MODULY_CBA!$B$3:$N$23,13,0)&lt;='TCO TO BE- SW'!$D94,SUM('TCO TO BE- SW'!K$6:K$15)*VLOOKUP('TCO TO BE- SW'!K$2,MODULY_CBA!$B$3:$L$23,11,0),0),0)</f>
        <v>0</v>
      </c>
      <c r="L94" s="587">
        <f>IFERROR(IF(VLOOKUP(L$2,MODULY_CBA!$B$3:$N$23,13,0)&lt;='TCO TO BE- SW'!$D94,SUM('TCO TO BE- SW'!L$6:L$15)*VLOOKUP('TCO TO BE- SW'!L$2,MODULY_CBA!$B$3:$L$23,11,0),0),0)</f>
        <v>0</v>
      </c>
      <c r="M94" s="587">
        <f>IFERROR(IF(VLOOKUP(M$2,MODULY_CBA!$B$3:$N$23,13,0)&lt;='TCO TO BE- SW'!$D94,SUM('TCO TO BE- SW'!M$6:M$15)*VLOOKUP('TCO TO BE- SW'!M$2,MODULY_CBA!$B$3:$L$23,11,0),0),0)</f>
        <v>0</v>
      </c>
      <c r="N94" s="587">
        <f>IFERROR(IF(VLOOKUP(N$2,MODULY_CBA!$B$3:$N$23,13,0)&lt;='TCO TO BE- SW'!$D94,SUM('TCO TO BE- SW'!N$6:N$15)*VLOOKUP('TCO TO BE- SW'!N$2,MODULY_CBA!$B$3:$L$23,11,0),0),0)</f>
        <v>0</v>
      </c>
      <c r="O94" s="587">
        <f>IFERROR(IF(VLOOKUP(O$2,MODULY_CBA!$B$3:$N$23,13,0)&lt;='TCO TO BE- SW'!$D94,SUM('TCO TO BE- SW'!O$6:O$15)*VLOOKUP('TCO TO BE- SW'!O$2,MODULY_CBA!$B$3:$L$23,11,0),0),0)</f>
        <v>0</v>
      </c>
      <c r="P94" s="587">
        <f>IFERROR(IF(VLOOKUP(P$2,MODULY_CBA!$B$3:$N$23,13,0)&lt;='TCO TO BE- SW'!$D94,SUM('TCO TO BE- SW'!P$6:P$15)*VLOOKUP('TCO TO BE- SW'!P$2,MODULY_CBA!$B$3:$L$23,11,0),0),0)</f>
        <v>0</v>
      </c>
      <c r="Q94" s="587">
        <f>IFERROR(IF(VLOOKUP(Q$2,MODULY_CBA!$B$3:$N$23,13,0)&lt;='TCO TO BE- SW'!$D94,SUM('TCO TO BE- SW'!Q$6:Q$15)*VLOOKUP('TCO TO BE- SW'!Q$2,MODULY_CBA!$B$3:$L$23,11,0),0),0)</f>
        <v>0</v>
      </c>
      <c r="R94" s="587">
        <f>IFERROR(IF(VLOOKUP(R$2,MODULY_CBA!$B$3:$N$23,13,0)&lt;='TCO TO BE- SW'!$D94,SUM('TCO TO BE- SW'!R$6:R$15)*VLOOKUP('TCO TO BE- SW'!R$2,MODULY_CBA!$B$3:$L$23,11,0),0),0)</f>
        <v>0</v>
      </c>
      <c r="S94" s="587">
        <f>IFERROR(IF(VLOOKUP(S$2,MODULY_CBA!$B$3:$N$23,13,0)&lt;='TCO TO BE- SW'!$D94,SUM('TCO TO BE- SW'!S$6:S$15)*VLOOKUP('TCO TO BE- SW'!S$2,MODULY_CBA!$B$3:$L$23,11,0),0),0)</f>
        <v>0</v>
      </c>
      <c r="T94" s="587">
        <f>IFERROR(IF(VLOOKUP(T$2,MODULY_CBA!$B$3:$N$23,13,0)&lt;='TCO TO BE- SW'!$D94,SUM('TCO TO BE- SW'!T$6:T$15)*VLOOKUP('TCO TO BE- SW'!T$2,MODULY_CBA!$B$3:$L$23,11,0),0),0)</f>
        <v>0</v>
      </c>
      <c r="U94" s="587">
        <f>IFERROR(IF(VLOOKUP(U$2,MODULY_CBA!$B$3:$N$23,13,0)&lt;='TCO TO BE- SW'!$D94,SUM('TCO TO BE- SW'!U$6:U$15)*VLOOKUP('TCO TO BE- SW'!U$2,MODULY_CBA!$B$3:$L$23,11,0),0),0)</f>
        <v>0</v>
      </c>
      <c r="V94" s="587">
        <f>IFERROR(IF(VLOOKUP(V$2,MODULY_CBA!$B$3:$N$23,13,0)&lt;='TCO TO BE- SW'!$D94,SUM('TCO TO BE- SW'!V$6:V$15)*VLOOKUP('TCO TO BE- SW'!V$2,MODULY_CBA!$B$3:$L$23,11,0),0),0)</f>
        <v>0</v>
      </c>
      <c r="W94" s="587">
        <f>IFERROR(IF(VLOOKUP(W$2,MODULY_CBA!$B$3:$N$23,13,0)&lt;='TCO TO BE- SW'!$D94,SUM('TCO TO BE- SW'!W$6:W$15)*VLOOKUP('TCO TO BE- SW'!W$2,MODULY_CBA!$B$3:$L$23,11,0),0),0)</f>
        <v>0</v>
      </c>
      <c r="X94" s="587">
        <f>IFERROR(IF(VLOOKUP(X$2,MODULY_CBA!$B$3:$N$23,13,0)&lt;='TCO TO BE- SW'!$D94,SUM('TCO TO BE- SW'!X$6:X$15)*VLOOKUP('TCO TO BE- SW'!X$2,MODULY_CBA!$B$3:$L$23,11,0),0),0)</f>
        <v>0</v>
      </c>
      <c r="Y94" s="587">
        <f>IFERROR(IF(VLOOKUP(Y$2,MODULY_CBA!$B$3:$N$23,13,0)&lt;='TCO TO BE- SW'!$D94,SUM('TCO TO BE- SW'!Y$6:Y$15)*VLOOKUP('TCO TO BE- SW'!Y$2,MODULY_CBA!$B$3:$L$23,11,0),0),0)</f>
        <v>0</v>
      </c>
      <c r="Z94" s="587">
        <f>IFERROR(IF(VLOOKUP(Z$2,MODULY_CBA!$B$3:$N$23,13,0)&lt;='TCO TO BE- SW'!$D94,SUM('TCO TO BE- SW'!Z$6:Z$15)*VLOOKUP('TCO TO BE- SW'!Z$2,MODULY_CBA!$B$3:$L$23,11,0),0),0)</f>
        <v>0</v>
      </c>
    </row>
    <row r="95" spans="1:26" outlineLevel="2">
      <c r="A95" s="824"/>
      <c r="B95" s="825"/>
      <c r="C95" s="825"/>
      <c r="D95" s="64">
        <v>7</v>
      </c>
      <c r="E95" s="61">
        <f t="shared" si="12"/>
        <v>0</v>
      </c>
      <c r="F95" s="587">
        <f>IFERROR(IF(VLOOKUP(F$2,MODULY_CBA!$B$3:$N$23,13,0)&lt;='TCO TO BE- SW'!$D95,SUM('TCO TO BE- SW'!F$6:F$15)*VLOOKUP('TCO TO BE- SW'!F$2,MODULY_CBA!$B$3:$L$23,11,0),0),0)</f>
        <v>0</v>
      </c>
      <c r="G95" s="587">
        <f>IFERROR(IF(VLOOKUP(G$2,MODULY_CBA!$B$3:$N$23,13,0)&lt;='TCO TO BE- SW'!$D95,SUM('TCO TO BE- SW'!G$6:G$15)*VLOOKUP('TCO TO BE- SW'!G$2,MODULY_CBA!$B$3:$L$23,11,0),0),0)</f>
        <v>0</v>
      </c>
      <c r="H95" s="587">
        <f>IFERROR(IF(VLOOKUP(H$2,MODULY_CBA!$B$3:$N$23,13,0)&lt;='TCO TO BE- SW'!$D95,SUM('TCO TO BE- SW'!H$6:H$15)*VLOOKUP('TCO TO BE- SW'!H$2,MODULY_CBA!$B$3:$L$23,11,0),0),0)</f>
        <v>0</v>
      </c>
      <c r="I95" s="587">
        <f>IFERROR(IF(VLOOKUP(I$2,MODULY_CBA!$B$3:$N$23,13,0)&lt;='TCO TO BE- SW'!$D95,SUM('TCO TO BE- SW'!I$6:I$15)*VLOOKUP('TCO TO BE- SW'!I$2,MODULY_CBA!$B$3:$L$23,11,0),0),0)</f>
        <v>0</v>
      </c>
      <c r="J95" s="587">
        <f>IFERROR(IF(VLOOKUP(J$2,MODULY_CBA!$B$3:$N$23,13,0)&lt;='TCO TO BE- SW'!$D95,SUM('TCO TO BE- SW'!J$6:J$15)*VLOOKUP('TCO TO BE- SW'!J$2,MODULY_CBA!$B$3:$L$23,11,0),0),0)</f>
        <v>0</v>
      </c>
      <c r="K95" s="587">
        <f>IFERROR(IF(VLOOKUP(K$2,MODULY_CBA!$B$3:$N$23,13,0)&lt;='TCO TO BE- SW'!$D95,SUM('TCO TO BE- SW'!K$6:K$15)*VLOOKUP('TCO TO BE- SW'!K$2,MODULY_CBA!$B$3:$L$23,11,0),0),0)</f>
        <v>0</v>
      </c>
      <c r="L95" s="587">
        <f>IFERROR(IF(VLOOKUP(L$2,MODULY_CBA!$B$3:$N$23,13,0)&lt;='TCO TO BE- SW'!$D95,SUM('TCO TO BE- SW'!L$6:L$15)*VLOOKUP('TCO TO BE- SW'!L$2,MODULY_CBA!$B$3:$L$23,11,0),0),0)</f>
        <v>0</v>
      </c>
      <c r="M95" s="587">
        <f>IFERROR(IF(VLOOKUP(M$2,MODULY_CBA!$B$3:$N$23,13,0)&lt;='TCO TO BE- SW'!$D95,SUM('TCO TO BE- SW'!M$6:M$15)*VLOOKUP('TCO TO BE- SW'!M$2,MODULY_CBA!$B$3:$L$23,11,0),0),0)</f>
        <v>0</v>
      </c>
      <c r="N95" s="587">
        <f>IFERROR(IF(VLOOKUP(N$2,MODULY_CBA!$B$3:$N$23,13,0)&lt;='TCO TO BE- SW'!$D95,SUM('TCO TO BE- SW'!N$6:N$15)*VLOOKUP('TCO TO BE- SW'!N$2,MODULY_CBA!$B$3:$L$23,11,0),0),0)</f>
        <v>0</v>
      </c>
      <c r="O95" s="587">
        <f>IFERROR(IF(VLOOKUP(O$2,MODULY_CBA!$B$3:$N$23,13,0)&lt;='TCO TO BE- SW'!$D95,SUM('TCO TO BE- SW'!O$6:O$15)*VLOOKUP('TCO TO BE- SW'!O$2,MODULY_CBA!$B$3:$L$23,11,0),0),0)</f>
        <v>0</v>
      </c>
      <c r="P95" s="587">
        <f>IFERROR(IF(VLOOKUP(P$2,MODULY_CBA!$B$3:$N$23,13,0)&lt;='TCO TO BE- SW'!$D95,SUM('TCO TO BE- SW'!P$6:P$15)*VLOOKUP('TCO TO BE- SW'!P$2,MODULY_CBA!$B$3:$L$23,11,0),0),0)</f>
        <v>0</v>
      </c>
      <c r="Q95" s="587">
        <f>IFERROR(IF(VLOOKUP(Q$2,MODULY_CBA!$B$3:$N$23,13,0)&lt;='TCO TO BE- SW'!$D95,SUM('TCO TO BE- SW'!Q$6:Q$15)*VLOOKUP('TCO TO BE- SW'!Q$2,MODULY_CBA!$B$3:$L$23,11,0),0),0)</f>
        <v>0</v>
      </c>
      <c r="R95" s="587">
        <f>IFERROR(IF(VLOOKUP(R$2,MODULY_CBA!$B$3:$N$23,13,0)&lt;='TCO TO BE- SW'!$D95,SUM('TCO TO BE- SW'!R$6:R$15)*VLOOKUP('TCO TO BE- SW'!R$2,MODULY_CBA!$B$3:$L$23,11,0),0),0)</f>
        <v>0</v>
      </c>
      <c r="S95" s="587">
        <f>IFERROR(IF(VLOOKUP(S$2,MODULY_CBA!$B$3:$N$23,13,0)&lt;='TCO TO BE- SW'!$D95,SUM('TCO TO BE- SW'!S$6:S$15)*VLOOKUP('TCO TO BE- SW'!S$2,MODULY_CBA!$B$3:$L$23,11,0),0),0)</f>
        <v>0</v>
      </c>
      <c r="T95" s="587">
        <f>IFERROR(IF(VLOOKUP(T$2,MODULY_CBA!$B$3:$N$23,13,0)&lt;='TCO TO BE- SW'!$D95,SUM('TCO TO BE- SW'!T$6:T$15)*VLOOKUP('TCO TO BE- SW'!T$2,MODULY_CBA!$B$3:$L$23,11,0),0),0)</f>
        <v>0</v>
      </c>
      <c r="U95" s="587">
        <f>IFERROR(IF(VLOOKUP(U$2,MODULY_CBA!$B$3:$N$23,13,0)&lt;='TCO TO BE- SW'!$D95,SUM('TCO TO BE- SW'!U$6:U$15)*VLOOKUP('TCO TO BE- SW'!U$2,MODULY_CBA!$B$3:$L$23,11,0),0),0)</f>
        <v>0</v>
      </c>
      <c r="V95" s="587">
        <f>IFERROR(IF(VLOOKUP(V$2,MODULY_CBA!$B$3:$N$23,13,0)&lt;='TCO TO BE- SW'!$D95,SUM('TCO TO BE- SW'!V$6:V$15)*VLOOKUP('TCO TO BE- SW'!V$2,MODULY_CBA!$B$3:$L$23,11,0),0),0)</f>
        <v>0</v>
      </c>
      <c r="W95" s="587">
        <f>IFERROR(IF(VLOOKUP(W$2,MODULY_CBA!$B$3:$N$23,13,0)&lt;='TCO TO BE- SW'!$D95,SUM('TCO TO BE- SW'!W$6:W$15)*VLOOKUP('TCO TO BE- SW'!W$2,MODULY_CBA!$B$3:$L$23,11,0),0),0)</f>
        <v>0</v>
      </c>
      <c r="X95" s="587">
        <f>IFERROR(IF(VLOOKUP(X$2,MODULY_CBA!$B$3:$N$23,13,0)&lt;='TCO TO BE- SW'!$D95,SUM('TCO TO BE- SW'!X$6:X$15)*VLOOKUP('TCO TO BE- SW'!X$2,MODULY_CBA!$B$3:$L$23,11,0),0),0)</f>
        <v>0</v>
      </c>
      <c r="Y95" s="587">
        <f>IFERROR(IF(VLOOKUP(Y$2,MODULY_CBA!$B$3:$N$23,13,0)&lt;='TCO TO BE- SW'!$D95,SUM('TCO TO BE- SW'!Y$6:Y$15)*VLOOKUP('TCO TO BE- SW'!Y$2,MODULY_CBA!$B$3:$L$23,11,0),0),0)</f>
        <v>0</v>
      </c>
      <c r="Z95" s="587">
        <f>IFERROR(IF(VLOOKUP(Z$2,MODULY_CBA!$B$3:$N$23,13,0)&lt;='TCO TO BE- SW'!$D95,SUM('TCO TO BE- SW'!Z$6:Z$15)*VLOOKUP('TCO TO BE- SW'!Z$2,MODULY_CBA!$B$3:$L$23,11,0),0),0)</f>
        <v>0</v>
      </c>
    </row>
    <row r="96" spans="1:26" outlineLevel="2">
      <c r="A96" s="824"/>
      <c r="B96" s="825"/>
      <c r="C96" s="825"/>
      <c r="D96" s="64">
        <v>8</v>
      </c>
      <c r="E96" s="61">
        <f t="shared" si="12"/>
        <v>0</v>
      </c>
      <c r="F96" s="587">
        <f>IFERROR(IF(VLOOKUP(F$2,MODULY_CBA!$B$3:$N$23,13,0)&lt;='TCO TO BE- SW'!$D96,SUM('TCO TO BE- SW'!F$6:F$15)*VLOOKUP('TCO TO BE- SW'!F$2,MODULY_CBA!$B$3:$L$23,11,0),0),0)</f>
        <v>0</v>
      </c>
      <c r="G96" s="587">
        <f>IFERROR(IF(VLOOKUP(G$2,MODULY_CBA!$B$3:$N$23,13,0)&lt;='TCO TO BE- SW'!$D96,SUM('TCO TO BE- SW'!G$6:G$15)*VLOOKUP('TCO TO BE- SW'!G$2,MODULY_CBA!$B$3:$L$23,11,0),0),0)</f>
        <v>0</v>
      </c>
      <c r="H96" s="587">
        <f>IFERROR(IF(VLOOKUP(H$2,MODULY_CBA!$B$3:$N$23,13,0)&lt;='TCO TO BE- SW'!$D96,SUM('TCO TO BE- SW'!H$6:H$15)*VLOOKUP('TCO TO BE- SW'!H$2,MODULY_CBA!$B$3:$L$23,11,0),0),0)</f>
        <v>0</v>
      </c>
      <c r="I96" s="587">
        <f>IFERROR(IF(VLOOKUP(I$2,MODULY_CBA!$B$3:$N$23,13,0)&lt;='TCO TO BE- SW'!$D96,SUM('TCO TO BE- SW'!I$6:I$15)*VLOOKUP('TCO TO BE- SW'!I$2,MODULY_CBA!$B$3:$L$23,11,0),0),0)</f>
        <v>0</v>
      </c>
      <c r="J96" s="587">
        <f>IFERROR(IF(VLOOKUP(J$2,MODULY_CBA!$B$3:$N$23,13,0)&lt;='TCO TO BE- SW'!$D96,SUM('TCO TO BE- SW'!J$6:J$15)*VLOOKUP('TCO TO BE- SW'!J$2,MODULY_CBA!$B$3:$L$23,11,0),0),0)</f>
        <v>0</v>
      </c>
      <c r="K96" s="587">
        <f>IFERROR(IF(VLOOKUP(K$2,MODULY_CBA!$B$3:$N$23,13,0)&lt;='TCO TO BE- SW'!$D96,SUM('TCO TO BE- SW'!K$6:K$15)*VLOOKUP('TCO TO BE- SW'!K$2,MODULY_CBA!$B$3:$L$23,11,0),0),0)</f>
        <v>0</v>
      </c>
      <c r="L96" s="587">
        <f>IFERROR(IF(VLOOKUP(L$2,MODULY_CBA!$B$3:$N$23,13,0)&lt;='TCO TO BE- SW'!$D96,SUM('TCO TO BE- SW'!L$6:L$15)*VLOOKUP('TCO TO BE- SW'!L$2,MODULY_CBA!$B$3:$L$23,11,0),0),0)</f>
        <v>0</v>
      </c>
      <c r="M96" s="587">
        <f>IFERROR(IF(VLOOKUP(M$2,MODULY_CBA!$B$3:$N$23,13,0)&lt;='TCO TO BE- SW'!$D96,SUM('TCO TO BE- SW'!M$6:M$15)*VLOOKUP('TCO TO BE- SW'!M$2,MODULY_CBA!$B$3:$L$23,11,0),0),0)</f>
        <v>0</v>
      </c>
      <c r="N96" s="587">
        <f>IFERROR(IF(VLOOKUP(N$2,MODULY_CBA!$B$3:$N$23,13,0)&lt;='TCO TO BE- SW'!$D96,SUM('TCO TO BE- SW'!N$6:N$15)*VLOOKUP('TCO TO BE- SW'!N$2,MODULY_CBA!$B$3:$L$23,11,0),0),0)</f>
        <v>0</v>
      </c>
      <c r="O96" s="587">
        <f>IFERROR(IF(VLOOKUP(O$2,MODULY_CBA!$B$3:$N$23,13,0)&lt;='TCO TO BE- SW'!$D96,SUM('TCO TO BE- SW'!O$6:O$15)*VLOOKUP('TCO TO BE- SW'!O$2,MODULY_CBA!$B$3:$L$23,11,0),0),0)</f>
        <v>0</v>
      </c>
      <c r="P96" s="587">
        <f>IFERROR(IF(VLOOKUP(P$2,MODULY_CBA!$B$3:$N$23,13,0)&lt;='TCO TO BE- SW'!$D96,SUM('TCO TO BE- SW'!P$6:P$15)*VLOOKUP('TCO TO BE- SW'!P$2,MODULY_CBA!$B$3:$L$23,11,0),0),0)</f>
        <v>0</v>
      </c>
      <c r="Q96" s="587">
        <f>IFERROR(IF(VLOOKUP(Q$2,MODULY_CBA!$B$3:$N$23,13,0)&lt;='TCO TO BE- SW'!$D96,SUM('TCO TO BE- SW'!Q$6:Q$15)*VLOOKUP('TCO TO BE- SW'!Q$2,MODULY_CBA!$B$3:$L$23,11,0),0),0)</f>
        <v>0</v>
      </c>
      <c r="R96" s="587">
        <f>IFERROR(IF(VLOOKUP(R$2,MODULY_CBA!$B$3:$N$23,13,0)&lt;='TCO TO BE- SW'!$D96,SUM('TCO TO BE- SW'!R$6:R$15)*VLOOKUP('TCO TO BE- SW'!R$2,MODULY_CBA!$B$3:$L$23,11,0),0),0)</f>
        <v>0</v>
      </c>
      <c r="S96" s="587">
        <f>IFERROR(IF(VLOOKUP(S$2,MODULY_CBA!$B$3:$N$23,13,0)&lt;='TCO TO BE- SW'!$D96,SUM('TCO TO BE- SW'!S$6:S$15)*VLOOKUP('TCO TO BE- SW'!S$2,MODULY_CBA!$B$3:$L$23,11,0),0),0)</f>
        <v>0</v>
      </c>
      <c r="T96" s="587">
        <f>IFERROR(IF(VLOOKUP(T$2,MODULY_CBA!$B$3:$N$23,13,0)&lt;='TCO TO BE- SW'!$D96,SUM('TCO TO BE- SW'!T$6:T$15)*VLOOKUP('TCO TO BE- SW'!T$2,MODULY_CBA!$B$3:$L$23,11,0),0),0)</f>
        <v>0</v>
      </c>
      <c r="U96" s="587">
        <f>IFERROR(IF(VLOOKUP(U$2,MODULY_CBA!$B$3:$N$23,13,0)&lt;='TCO TO BE- SW'!$D96,SUM('TCO TO BE- SW'!U$6:U$15)*VLOOKUP('TCO TO BE- SW'!U$2,MODULY_CBA!$B$3:$L$23,11,0),0),0)</f>
        <v>0</v>
      </c>
      <c r="V96" s="587">
        <f>IFERROR(IF(VLOOKUP(V$2,MODULY_CBA!$B$3:$N$23,13,0)&lt;='TCO TO BE- SW'!$D96,SUM('TCO TO BE- SW'!V$6:V$15)*VLOOKUP('TCO TO BE- SW'!V$2,MODULY_CBA!$B$3:$L$23,11,0),0),0)</f>
        <v>0</v>
      </c>
      <c r="W96" s="587">
        <f>IFERROR(IF(VLOOKUP(W$2,MODULY_CBA!$B$3:$N$23,13,0)&lt;='TCO TO BE- SW'!$D96,SUM('TCO TO BE- SW'!W$6:W$15)*VLOOKUP('TCO TO BE- SW'!W$2,MODULY_CBA!$B$3:$L$23,11,0),0),0)</f>
        <v>0</v>
      </c>
      <c r="X96" s="587">
        <f>IFERROR(IF(VLOOKUP(X$2,MODULY_CBA!$B$3:$N$23,13,0)&lt;='TCO TO BE- SW'!$D96,SUM('TCO TO BE- SW'!X$6:X$15)*VLOOKUP('TCO TO BE- SW'!X$2,MODULY_CBA!$B$3:$L$23,11,0),0),0)</f>
        <v>0</v>
      </c>
      <c r="Y96" s="587">
        <f>IFERROR(IF(VLOOKUP(Y$2,MODULY_CBA!$B$3:$N$23,13,0)&lt;='TCO TO BE- SW'!$D96,SUM('TCO TO BE- SW'!Y$6:Y$15)*VLOOKUP('TCO TO BE- SW'!Y$2,MODULY_CBA!$B$3:$L$23,11,0),0),0)</f>
        <v>0</v>
      </c>
      <c r="Z96" s="587">
        <f>IFERROR(IF(VLOOKUP(Z$2,MODULY_CBA!$B$3:$N$23,13,0)&lt;='TCO TO BE- SW'!$D96,SUM('TCO TO BE- SW'!Z$6:Z$15)*VLOOKUP('TCO TO BE- SW'!Z$2,MODULY_CBA!$B$3:$L$23,11,0),0),0)</f>
        <v>0</v>
      </c>
    </row>
    <row r="97" spans="1:26" outlineLevel="2">
      <c r="A97" s="824"/>
      <c r="B97" s="825"/>
      <c r="C97" s="825"/>
      <c r="D97" s="64">
        <v>9</v>
      </c>
      <c r="E97" s="61">
        <f t="shared" si="12"/>
        <v>0</v>
      </c>
      <c r="F97" s="587">
        <f>IFERROR(IF(VLOOKUP(F$2,MODULY_CBA!$B$3:$N$23,13,0)&lt;='TCO TO BE- SW'!$D97,SUM('TCO TO BE- SW'!F$6:F$15)*VLOOKUP('TCO TO BE- SW'!F$2,MODULY_CBA!$B$3:$L$23,11,0),0),0)</f>
        <v>0</v>
      </c>
      <c r="G97" s="587">
        <f>IFERROR(IF(VLOOKUP(G$2,MODULY_CBA!$B$3:$N$23,13,0)&lt;='TCO TO BE- SW'!$D97,SUM('TCO TO BE- SW'!G$6:G$15)*VLOOKUP('TCO TO BE- SW'!G$2,MODULY_CBA!$B$3:$L$23,11,0),0),0)</f>
        <v>0</v>
      </c>
      <c r="H97" s="587">
        <f>IFERROR(IF(VLOOKUP(H$2,MODULY_CBA!$B$3:$N$23,13,0)&lt;='TCO TO BE- SW'!$D97,SUM('TCO TO BE- SW'!H$6:H$15)*VLOOKUP('TCO TO BE- SW'!H$2,MODULY_CBA!$B$3:$L$23,11,0),0),0)</f>
        <v>0</v>
      </c>
      <c r="I97" s="587">
        <f>IFERROR(IF(VLOOKUP(I$2,MODULY_CBA!$B$3:$N$23,13,0)&lt;='TCO TO BE- SW'!$D97,SUM('TCO TO BE- SW'!I$6:I$15)*VLOOKUP('TCO TO BE- SW'!I$2,MODULY_CBA!$B$3:$L$23,11,0),0),0)</f>
        <v>0</v>
      </c>
      <c r="J97" s="587">
        <f>IFERROR(IF(VLOOKUP(J$2,MODULY_CBA!$B$3:$N$23,13,0)&lt;='TCO TO BE- SW'!$D97,SUM('TCO TO BE- SW'!J$6:J$15)*VLOOKUP('TCO TO BE- SW'!J$2,MODULY_CBA!$B$3:$L$23,11,0),0),0)</f>
        <v>0</v>
      </c>
      <c r="K97" s="587">
        <f>IFERROR(IF(VLOOKUP(K$2,MODULY_CBA!$B$3:$N$23,13,0)&lt;='TCO TO BE- SW'!$D97,SUM('TCO TO BE- SW'!K$6:K$15)*VLOOKUP('TCO TO BE- SW'!K$2,MODULY_CBA!$B$3:$L$23,11,0),0),0)</f>
        <v>0</v>
      </c>
      <c r="L97" s="587">
        <f>IFERROR(IF(VLOOKUP(L$2,MODULY_CBA!$B$3:$N$23,13,0)&lt;='TCO TO BE- SW'!$D97,SUM('TCO TO BE- SW'!L$6:L$15)*VLOOKUP('TCO TO BE- SW'!L$2,MODULY_CBA!$B$3:$L$23,11,0),0),0)</f>
        <v>0</v>
      </c>
      <c r="M97" s="587">
        <f>IFERROR(IF(VLOOKUP(M$2,MODULY_CBA!$B$3:$N$23,13,0)&lt;='TCO TO BE- SW'!$D97,SUM('TCO TO BE- SW'!M$6:M$15)*VLOOKUP('TCO TO BE- SW'!M$2,MODULY_CBA!$B$3:$L$23,11,0),0),0)</f>
        <v>0</v>
      </c>
      <c r="N97" s="587">
        <f>IFERROR(IF(VLOOKUP(N$2,MODULY_CBA!$B$3:$N$23,13,0)&lt;='TCO TO BE- SW'!$D97,SUM('TCO TO BE- SW'!N$6:N$15)*VLOOKUP('TCO TO BE- SW'!N$2,MODULY_CBA!$B$3:$L$23,11,0),0),0)</f>
        <v>0</v>
      </c>
      <c r="O97" s="587">
        <f>IFERROR(IF(VLOOKUP(O$2,MODULY_CBA!$B$3:$N$23,13,0)&lt;='TCO TO BE- SW'!$D97,SUM('TCO TO BE- SW'!O$6:O$15)*VLOOKUP('TCO TO BE- SW'!O$2,MODULY_CBA!$B$3:$L$23,11,0),0),0)</f>
        <v>0</v>
      </c>
      <c r="P97" s="587">
        <f>IFERROR(IF(VLOOKUP(P$2,MODULY_CBA!$B$3:$N$23,13,0)&lt;='TCO TO BE- SW'!$D97,SUM('TCO TO BE- SW'!P$6:P$15)*VLOOKUP('TCO TO BE- SW'!P$2,MODULY_CBA!$B$3:$L$23,11,0),0),0)</f>
        <v>0</v>
      </c>
      <c r="Q97" s="587">
        <f>IFERROR(IF(VLOOKUP(Q$2,MODULY_CBA!$B$3:$N$23,13,0)&lt;='TCO TO BE- SW'!$D97,SUM('TCO TO BE- SW'!Q$6:Q$15)*VLOOKUP('TCO TO BE- SW'!Q$2,MODULY_CBA!$B$3:$L$23,11,0),0),0)</f>
        <v>0</v>
      </c>
      <c r="R97" s="587">
        <f>IFERROR(IF(VLOOKUP(R$2,MODULY_CBA!$B$3:$N$23,13,0)&lt;='TCO TO BE- SW'!$D97,SUM('TCO TO BE- SW'!R$6:R$15)*VLOOKUP('TCO TO BE- SW'!R$2,MODULY_CBA!$B$3:$L$23,11,0),0),0)</f>
        <v>0</v>
      </c>
      <c r="S97" s="587">
        <f>IFERROR(IF(VLOOKUP(S$2,MODULY_CBA!$B$3:$N$23,13,0)&lt;='TCO TO BE- SW'!$D97,SUM('TCO TO BE- SW'!S$6:S$15)*VLOOKUP('TCO TO BE- SW'!S$2,MODULY_CBA!$B$3:$L$23,11,0),0),0)</f>
        <v>0</v>
      </c>
      <c r="T97" s="587">
        <f>IFERROR(IF(VLOOKUP(T$2,MODULY_CBA!$B$3:$N$23,13,0)&lt;='TCO TO BE- SW'!$D97,SUM('TCO TO BE- SW'!T$6:T$15)*VLOOKUP('TCO TO BE- SW'!T$2,MODULY_CBA!$B$3:$L$23,11,0),0),0)</f>
        <v>0</v>
      </c>
      <c r="U97" s="587">
        <f>IFERROR(IF(VLOOKUP(U$2,MODULY_CBA!$B$3:$N$23,13,0)&lt;='TCO TO BE- SW'!$D97,SUM('TCO TO BE- SW'!U$6:U$15)*VLOOKUP('TCO TO BE- SW'!U$2,MODULY_CBA!$B$3:$L$23,11,0),0),0)</f>
        <v>0</v>
      </c>
      <c r="V97" s="587">
        <f>IFERROR(IF(VLOOKUP(V$2,MODULY_CBA!$B$3:$N$23,13,0)&lt;='TCO TO BE- SW'!$D97,SUM('TCO TO BE- SW'!V$6:V$15)*VLOOKUP('TCO TO BE- SW'!V$2,MODULY_CBA!$B$3:$L$23,11,0),0),0)</f>
        <v>0</v>
      </c>
      <c r="W97" s="587">
        <f>IFERROR(IF(VLOOKUP(W$2,MODULY_CBA!$B$3:$N$23,13,0)&lt;='TCO TO BE- SW'!$D97,SUM('TCO TO BE- SW'!W$6:W$15)*VLOOKUP('TCO TO BE- SW'!W$2,MODULY_CBA!$B$3:$L$23,11,0),0),0)</f>
        <v>0</v>
      </c>
      <c r="X97" s="587">
        <f>IFERROR(IF(VLOOKUP(X$2,MODULY_CBA!$B$3:$N$23,13,0)&lt;='TCO TO BE- SW'!$D97,SUM('TCO TO BE- SW'!X$6:X$15)*VLOOKUP('TCO TO BE- SW'!X$2,MODULY_CBA!$B$3:$L$23,11,0),0),0)</f>
        <v>0</v>
      </c>
      <c r="Y97" s="587">
        <f>IFERROR(IF(VLOOKUP(Y$2,MODULY_CBA!$B$3:$N$23,13,0)&lt;='TCO TO BE- SW'!$D97,SUM('TCO TO BE- SW'!Y$6:Y$15)*VLOOKUP('TCO TO BE- SW'!Y$2,MODULY_CBA!$B$3:$L$23,11,0),0),0)</f>
        <v>0</v>
      </c>
      <c r="Z97" s="587">
        <f>IFERROR(IF(VLOOKUP(Z$2,MODULY_CBA!$B$3:$N$23,13,0)&lt;='TCO TO BE- SW'!$D97,SUM('TCO TO BE- SW'!Z$6:Z$15)*VLOOKUP('TCO TO BE- SW'!Z$2,MODULY_CBA!$B$3:$L$23,11,0),0),0)</f>
        <v>0</v>
      </c>
    </row>
    <row r="98" spans="1:26" ht="15.75" outlineLevel="2" thickBot="1">
      <c r="A98" s="824"/>
      <c r="B98" s="825"/>
      <c r="C98" s="825"/>
      <c r="D98" s="65">
        <v>10</v>
      </c>
      <c r="E98" s="61">
        <f t="shared" si="12"/>
        <v>0</v>
      </c>
      <c r="F98" s="589">
        <f>IFERROR(IF(VLOOKUP(F$2,MODULY_CBA!$B$3:$N$23,13,0)&lt;='TCO TO BE- SW'!$D98,SUM('TCO TO BE- SW'!F$6:F$15)*VLOOKUP('TCO TO BE- SW'!F$2,MODULY_CBA!$B$3:$L$23,11,0),0),0)</f>
        <v>0</v>
      </c>
      <c r="G98" s="589">
        <f>IFERROR(IF(VLOOKUP(G$2,MODULY_CBA!$B$3:$N$23,13,0)&lt;='TCO TO BE- SW'!$D98,SUM('TCO TO BE- SW'!G$6:G$15)*VLOOKUP('TCO TO BE- SW'!G$2,MODULY_CBA!$B$3:$L$23,11,0),0),0)</f>
        <v>0</v>
      </c>
      <c r="H98" s="589">
        <f>IFERROR(IF(VLOOKUP(H$2,MODULY_CBA!$B$3:$N$23,13,0)&lt;='TCO TO BE- SW'!$D98,SUM('TCO TO BE- SW'!H$6:H$15)*VLOOKUP('TCO TO BE- SW'!H$2,MODULY_CBA!$B$3:$L$23,11,0),0),0)</f>
        <v>0</v>
      </c>
      <c r="I98" s="589">
        <f>IFERROR(IF(VLOOKUP(I$2,MODULY_CBA!$B$3:$N$23,13,0)&lt;='TCO TO BE- SW'!$D98,SUM('TCO TO BE- SW'!I$6:I$15)*VLOOKUP('TCO TO BE- SW'!I$2,MODULY_CBA!$B$3:$L$23,11,0),0),0)</f>
        <v>0</v>
      </c>
      <c r="J98" s="589">
        <f>IFERROR(IF(VLOOKUP(J$2,MODULY_CBA!$B$3:$N$23,13,0)&lt;='TCO TO BE- SW'!$D98,SUM('TCO TO BE- SW'!J$6:J$15)*VLOOKUP('TCO TO BE- SW'!J$2,MODULY_CBA!$B$3:$L$23,11,0),0),0)</f>
        <v>0</v>
      </c>
      <c r="K98" s="589">
        <f>IFERROR(IF(VLOOKUP(K$2,MODULY_CBA!$B$3:$N$23,13,0)&lt;='TCO TO BE- SW'!$D98,SUM('TCO TO BE- SW'!K$6:K$15)*VLOOKUP('TCO TO BE- SW'!K$2,MODULY_CBA!$B$3:$L$23,11,0),0),0)</f>
        <v>0</v>
      </c>
      <c r="L98" s="589">
        <f>IFERROR(IF(VLOOKUP(L$2,MODULY_CBA!$B$3:$N$23,13,0)&lt;='TCO TO BE- SW'!$D98,SUM('TCO TO BE- SW'!L$6:L$15)*VLOOKUP('TCO TO BE- SW'!L$2,MODULY_CBA!$B$3:$L$23,11,0),0),0)</f>
        <v>0</v>
      </c>
      <c r="M98" s="589">
        <f>IFERROR(IF(VLOOKUP(M$2,MODULY_CBA!$B$3:$N$23,13,0)&lt;='TCO TO BE- SW'!$D98,SUM('TCO TO BE- SW'!M$6:M$15)*VLOOKUP('TCO TO BE- SW'!M$2,MODULY_CBA!$B$3:$L$23,11,0),0),0)</f>
        <v>0</v>
      </c>
      <c r="N98" s="589">
        <f>IFERROR(IF(VLOOKUP(N$2,MODULY_CBA!$B$3:$N$23,13,0)&lt;='TCO TO BE- SW'!$D98,SUM('TCO TO BE- SW'!N$6:N$15)*VLOOKUP('TCO TO BE- SW'!N$2,MODULY_CBA!$B$3:$L$23,11,0),0),0)</f>
        <v>0</v>
      </c>
      <c r="O98" s="589">
        <f>IFERROR(IF(VLOOKUP(O$2,MODULY_CBA!$B$3:$N$23,13,0)&lt;='TCO TO BE- SW'!$D98,SUM('TCO TO BE- SW'!O$6:O$15)*VLOOKUP('TCO TO BE- SW'!O$2,MODULY_CBA!$B$3:$L$23,11,0),0),0)</f>
        <v>0</v>
      </c>
      <c r="P98" s="589">
        <f>IFERROR(IF(VLOOKUP(P$2,MODULY_CBA!$B$3:$N$23,13,0)&lt;='TCO TO BE- SW'!$D98,SUM('TCO TO BE- SW'!P$6:P$15)*VLOOKUP('TCO TO BE- SW'!P$2,MODULY_CBA!$B$3:$L$23,11,0),0),0)</f>
        <v>0</v>
      </c>
      <c r="Q98" s="589">
        <f>IFERROR(IF(VLOOKUP(Q$2,MODULY_CBA!$B$3:$N$23,13,0)&lt;='TCO TO BE- SW'!$D98,SUM('TCO TO BE- SW'!Q$6:Q$15)*VLOOKUP('TCO TO BE- SW'!Q$2,MODULY_CBA!$B$3:$L$23,11,0),0),0)</f>
        <v>0</v>
      </c>
      <c r="R98" s="589">
        <f>IFERROR(IF(VLOOKUP(R$2,MODULY_CBA!$B$3:$N$23,13,0)&lt;='TCO TO BE- SW'!$D98,SUM('TCO TO BE- SW'!R$6:R$15)*VLOOKUP('TCO TO BE- SW'!R$2,MODULY_CBA!$B$3:$L$23,11,0),0),0)</f>
        <v>0</v>
      </c>
      <c r="S98" s="589">
        <f>IFERROR(IF(VLOOKUP(S$2,MODULY_CBA!$B$3:$N$23,13,0)&lt;='TCO TO BE- SW'!$D98,SUM('TCO TO BE- SW'!S$6:S$15)*VLOOKUP('TCO TO BE- SW'!S$2,MODULY_CBA!$B$3:$L$23,11,0),0),0)</f>
        <v>0</v>
      </c>
      <c r="T98" s="589">
        <f>IFERROR(IF(VLOOKUP(T$2,MODULY_CBA!$B$3:$N$23,13,0)&lt;='TCO TO BE- SW'!$D98,SUM('TCO TO BE- SW'!T$6:T$15)*VLOOKUP('TCO TO BE- SW'!T$2,MODULY_CBA!$B$3:$L$23,11,0),0),0)</f>
        <v>0</v>
      </c>
      <c r="U98" s="589">
        <f>IFERROR(IF(VLOOKUP(U$2,MODULY_CBA!$B$3:$N$23,13,0)&lt;='TCO TO BE- SW'!$D98,SUM('TCO TO BE- SW'!U$6:U$15)*VLOOKUP('TCO TO BE- SW'!U$2,MODULY_CBA!$B$3:$L$23,11,0),0),0)</f>
        <v>0</v>
      </c>
      <c r="V98" s="589">
        <f>IFERROR(IF(VLOOKUP(V$2,MODULY_CBA!$B$3:$N$23,13,0)&lt;='TCO TO BE- SW'!$D98,SUM('TCO TO BE- SW'!V$6:V$15)*VLOOKUP('TCO TO BE- SW'!V$2,MODULY_CBA!$B$3:$L$23,11,0),0),0)</f>
        <v>0</v>
      </c>
      <c r="W98" s="589">
        <f>IFERROR(IF(VLOOKUP(W$2,MODULY_CBA!$B$3:$N$23,13,0)&lt;='TCO TO BE- SW'!$D98,SUM('TCO TO BE- SW'!W$6:W$15)*VLOOKUP('TCO TO BE- SW'!W$2,MODULY_CBA!$B$3:$L$23,11,0),0),0)</f>
        <v>0</v>
      </c>
      <c r="X98" s="589">
        <f>IFERROR(IF(VLOOKUP(X$2,MODULY_CBA!$B$3:$N$23,13,0)&lt;='TCO TO BE- SW'!$D98,SUM('TCO TO BE- SW'!X$6:X$15)*VLOOKUP('TCO TO BE- SW'!X$2,MODULY_CBA!$B$3:$L$23,11,0),0),0)</f>
        <v>0</v>
      </c>
      <c r="Y98" s="589">
        <f>IFERROR(IF(VLOOKUP(Y$2,MODULY_CBA!$B$3:$N$23,13,0)&lt;='TCO TO BE- SW'!$D98,SUM('TCO TO BE- SW'!Y$6:Y$15)*VLOOKUP('TCO TO BE- SW'!Y$2,MODULY_CBA!$B$3:$L$23,11,0),0),0)</f>
        <v>0</v>
      </c>
      <c r="Z98" s="589">
        <f>IFERROR(IF(VLOOKUP(Z$2,MODULY_CBA!$B$3:$N$23,13,0)&lt;='TCO TO BE- SW'!$D98,SUM('TCO TO BE- SW'!Z$6:Z$15)*VLOOKUP('TCO TO BE- SW'!Z$2,MODULY_CBA!$B$3:$L$23,11,0),0),0)</f>
        <v>0</v>
      </c>
    </row>
    <row r="99" spans="1:26" ht="15.75" outlineLevel="1" thickBot="1">
      <c r="A99" s="17" t="s">
        <v>104</v>
      </c>
      <c r="B99" s="17"/>
      <c r="C99" s="17"/>
      <c r="D99" s="27"/>
      <c r="E99" s="452">
        <f t="shared" ref="E99:Z99" si="13">SUM(E100:E149)</f>
        <v>1889400</v>
      </c>
      <c r="F99" s="453">
        <f t="shared" si="13"/>
        <v>1889400</v>
      </c>
      <c r="G99" s="453">
        <f t="shared" si="13"/>
        <v>0</v>
      </c>
      <c r="H99" s="453">
        <f t="shared" si="13"/>
        <v>0</v>
      </c>
      <c r="I99" s="453">
        <f t="shared" si="13"/>
        <v>0</v>
      </c>
      <c r="J99" s="453">
        <f t="shared" si="13"/>
        <v>0</v>
      </c>
      <c r="K99" s="453">
        <f t="shared" si="13"/>
        <v>0</v>
      </c>
      <c r="L99" s="453">
        <f t="shared" si="13"/>
        <v>0</v>
      </c>
      <c r="M99" s="453">
        <f t="shared" si="13"/>
        <v>0</v>
      </c>
      <c r="N99" s="453">
        <f t="shared" si="13"/>
        <v>0</v>
      </c>
      <c r="O99" s="453">
        <f t="shared" si="13"/>
        <v>0</v>
      </c>
      <c r="P99" s="453">
        <f t="shared" si="13"/>
        <v>0</v>
      </c>
      <c r="Q99" s="453">
        <f t="shared" si="13"/>
        <v>0</v>
      </c>
      <c r="R99" s="453">
        <f t="shared" si="13"/>
        <v>0</v>
      </c>
      <c r="S99" s="453">
        <f t="shared" si="13"/>
        <v>0</v>
      </c>
      <c r="T99" s="453">
        <f t="shared" si="13"/>
        <v>0</v>
      </c>
      <c r="U99" s="453">
        <f t="shared" si="13"/>
        <v>0</v>
      </c>
      <c r="V99" s="453">
        <f t="shared" si="13"/>
        <v>0</v>
      </c>
      <c r="W99" s="453">
        <f t="shared" si="13"/>
        <v>0</v>
      </c>
      <c r="X99" s="453">
        <f t="shared" si="13"/>
        <v>0</v>
      </c>
      <c r="Y99" s="453">
        <f t="shared" si="13"/>
        <v>0</v>
      </c>
      <c r="Z99" s="453">
        <f t="shared" si="13"/>
        <v>0</v>
      </c>
    </row>
    <row r="100" spans="1:26" outlineLevel="2">
      <c r="A100" s="824" t="s">
        <v>81</v>
      </c>
      <c r="B100" s="825" t="s">
        <v>79</v>
      </c>
      <c r="C100" s="825">
        <v>635009</v>
      </c>
      <c r="D100" s="63">
        <v>1</v>
      </c>
      <c r="E100" s="67">
        <f t="shared" ref="E100:E149" si="14">SUM(F100:Z100)</f>
        <v>0</v>
      </c>
      <c r="F100" s="589">
        <f>IFERROR(IF(VLOOKUP(F$2,MODULY_CBA!$B$3:$N$23,13,0)&lt;='TCO TO BE- SW'!$D100,SUM('TCO TO BE- SW'!F$37:F$46)*VLOOKUP('TCO TO BE- SW'!F$2,MODULY_CBA!$B$3:$L$23,10,0),0),0)</f>
        <v>0</v>
      </c>
      <c r="G100" s="589">
        <f>IFERROR(IF(VLOOKUP(G$2,MODULY_CBA!$B$3:$N$23,13,0)&lt;='TCO TO BE- SW'!$D100,SUM('TCO TO BE- SW'!G$37:G$46)*VLOOKUP('TCO TO BE- SW'!G$2,MODULY_CBA!$B$3:$L$23,10,0),0),0)</f>
        <v>0</v>
      </c>
      <c r="H100" s="589">
        <f>IFERROR(IF(VLOOKUP(H$2,MODULY_CBA!$B$3:$N$23,13,0)&lt;='TCO TO BE- SW'!$D100,SUM('TCO TO BE- SW'!H$37:H$46)*VLOOKUP('TCO TO BE- SW'!H$2,MODULY_CBA!$B$3:$L$23,10,0),0),0)</f>
        <v>0</v>
      </c>
      <c r="I100" s="589">
        <f>IFERROR(IF(VLOOKUP(I$2,MODULY_CBA!$B$3:$N$23,13,0)&lt;='TCO TO BE- SW'!$D100,SUM('TCO TO BE- SW'!I$37:I$46)*VLOOKUP('TCO TO BE- SW'!I$2,MODULY_CBA!$B$3:$L$23,10,0),0),0)</f>
        <v>0</v>
      </c>
      <c r="J100" s="589">
        <f>IFERROR(IF(VLOOKUP(J$2,MODULY_CBA!$B$3:$N$23,13,0)&lt;='TCO TO BE- SW'!$D100,SUM('TCO TO BE- SW'!J$37:J$46)*VLOOKUP('TCO TO BE- SW'!J$2,MODULY_CBA!$B$3:$L$23,10,0),0),0)</f>
        <v>0</v>
      </c>
      <c r="K100" s="589">
        <f>IFERROR(IF(VLOOKUP(K$2,MODULY_CBA!$B$3:$N$23,13,0)&lt;='TCO TO BE- SW'!$D100,SUM('TCO TO BE- SW'!K$37:K$46)*VLOOKUP('TCO TO BE- SW'!K$2,MODULY_CBA!$B$3:$L$23,10,0),0),0)</f>
        <v>0</v>
      </c>
      <c r="L100" s="589">
        <f>IFERROR(IF(VLOOKUP(L$2,MODULY_CBA!$B$3:$N$23,13,0)&lt;='TCO TO BE- SW'!$D100,SUM('TCO TO BE- SW'!L$37:L$46)*VLOOKUP('TCO TO BE- SW'!L$2,MODULY_CBA!$B$3:$L$23,10,0),0),0)</f>
        <v>0</v>
      </c>
      <c r="M100" s="589">
        <f>IFERROR(IF(VLOOKUP(M$2,MODULY_CBA!$B$3:$N$23,13,0)&lt;='TCO TO BE- SW'!$D100,SUM('TCO TO BE- SW'!M$37:M$46)*VLOOKUP('TCO TO BE- SW'!M$2,MODULY_CBA!$B$3:$L$23,10,0),0),0)</f>
        <v>0</v>
      </c>
      <c r="N100" s="589">
        <f>IFERROR(IF(VLOOKUP(N$2,MODULY_CBA!$B$3:$N$23,13,0)&lt;='TCO TO BE- SW'!$D100,SUM('TCO TO BE- SW'!N$37:N$46)*VLOOKUP('TCO TO BE- SW'!N$2,MODULY_CBA!$B$3:$L$23,10,0),0),0)</f>
        <v>0</v>
      </c>
      <c r="O100" s="589">
        <f>IFERROR(IF(VLOOKUP(O$2,MODULY_CBA!$B$3:$N$23,13,0)&lt;='TCO TO BE- SW'!$D100,SUM('TCO TO BE- SW'!O$37:O$46)*VLOOKUP('TCO TO BE- SW'!O$2,MODULY_CBA!$B$3:$L$23,10,0),0),0)</f>
        <v>0</v>
      </c>
      <c r="P100" s="589">
        <f>IFERROR(IF(VLOOKUP(P$2,MODULY_CBA!$B$3:$N$23,13,0)&lt;='TCO TO BE- SW'!$D100,SUM('TCO TO BE- SW'!P$37:P$46)*VLOOKUP('TCO TO BE- SW'!P$2,MODULY_CBA!$B$3:$L$23,10,0),0),0)</f>
        <v>0</v>
      </c>
      <c r="Q100" s="589">
        <f>IFERROR(IF(VLOOKUP(Q$2,MODULY_CBA!$B$3:$N$23,13,0)&lt;='TCO TO BE- SW'!$D100,SUM('TCO TO BE- SW'!Q$37:Q$46)*VLOOKUP('TCO TO BE- SW'!Q$2,MODULY_CBA!$B$3:$L$23,10,0),0),0)</f>
        <v>0</v>
      </c>
      <c r="R100" s="589">
        <f>IFERROR(IF(VLOOKUP(R$2,MODULY_CBA!$B$3:$N$23,13,0)&lt;='TCO TO BE- SW'!$D100,SUM('TCO TO BE- SW'!R$37:R$46)*VLOOKUP('TCO TO BE- SW'!R$2,MODULY_CBA!$B$3:$L$23,10,0),0),0)</f>
        <v>0</v>
      </c>
      <c r="S100" s="589">
        <f>IFERROR(IF(VLOOKUP(S$2,MODULY_CBA!$B$3:$N$23,13,0)&lt;='TCO TO BE- SW'!$D100,SUM('TCO TO BE- SW'!S$37:S$46)*VLOOKUP('TCO TO BE- SW'!S$2,MODULY_CBA!$B$3:$L$23,10,0),0),0)</f>
        <v>0</v>
      </c>
      <c r="T100" s="589">
        <f>IFERROR(IF(VLOOKUP(T$2,MODULY_CBA!$B$3:$N$23,13,0)&lt;='TCO TO BE- SW'!$D100,SUM('TCO TO BE- SW'!T$37:T$46)*VLOOKUP('TCO TO BE- SW'!T$2,MODULY_CBA!$B$3:$L$23,10,0),0),0)</f>
        <v>0</v>
      </c>
      <c r="U100" s="589">
        <f>IFERROR(IF(VLOOKUP(U$2,MODULY_CBA!$B$3:$N$23,13,0)&lt;='TCO TO BE- SW'!$D100,SUM('TCO TO BE- SW'!U$37:U$46)*VLOOKUP('TCO TO BE- SW'!U$2,MODULY_CBA!$B$3:$L$23,10,0),0),0)</f>
        <v>0</v>
      </c>
      <c r="V100" s="589">
        <f>IFERROR(IF(VLOOKUP(V$2,MODULY_CBA!$B$3:$N$23,13,0)&lt;='TCO TO BE- SW'!$D100,SUM('TCO TO BE- SW'!V$37:V$46)*VLOOKUP('TCO TO BE- SW'!V$2,MODULY_CBA!$B$3:$L$23,10,0),0),0)</f>
        <v>0</v>
      </c>
      <c r="W100" s="589">
        <f>IFERROR(IF(VLOOKUP(W$2,MODULY_CBA!$B$3:$N$23,13,0)&lt;='TCO TO BE- SW'!$D100,SUM('TCO TO BE- SW'!W$37:W$46)*VLOOKUP('TCO TO BE- SW'!W$2,MODULY_CBA!$B$3:$L$23,10,0),0),0)</f>
        <v>0</v>
      </c>
      <c r="X100" s="589">
        <f>IFERROR(IF(VLOOKUP(X$2,MODULY_CBA!$B$3:$N$23,13,0)&lt;='TCO TO BE- SW'!$D100,SUM('TCO TO BE- SW'!X$37:X$46)*VLOOKUP('TCO TO BE- SW'!X$2,MODULY_CBA!$B$3:$L$23,10,0),0),0)</f>
        <v>0</v>
      </c>
      <c r="Y100" s="589">
        <f>IFERROR(IF(VLOOKUP(Y$2,MODULY_CBA!$B$3:$N$23,13,0)&lt;='TCO TO BE- SW'!$D100,SUM('TCO TO BE- SW'!Y$37:Y$46)*VLOOKUP('TCO TO BE- SW'!Y$2,MODULY_CBA!$B$3:$L$23,10,0),0),0)</f>
        <v>0</v>
      </c>
      <c r="Z100" s="589">
        <f>IFERROR(IF(VLOOKUP(Z$2,MODULY_CBA!$B$3:$N$23,13,0)&lt;='TCO TO BE- SW'!$D100,SUM('TCO TO BE- SW'!Z$37:Z$46)*VLOOKUP('TCO TO BE- SW'!Z$2,MODULY_CBA!$B$3:$L$23,10,0),0),0)</f>
        <v>0</v>
      </c>
    </row>
    <row r="101" spans="1:26" outlineLevel="2">
      <c r="A101" s="824"/>
      <c r="B101" s="825"/>
      <c r="C101" s="825"/>
      <c r="D101" s="64">
        <v>2</v>
      </c>
      <c r="E101" s="68">
        <f t="shared" si="14"/>
        <v>0</v>
      </c>
      <c r="F101" s="589">
        <f>IFERROR(IF(VLOOKUP(F$2,MODULY_CBA!$B$3:$N$23,13,0)&lt;='TCO TO BE- SW'!$D101,SUM('TCO TO BE- SW'!F$37:F$46)*VLOOKUP('TCO TO BE- SW'!F$2,MODULY_CBA!$B$3:$L$23,10,0),0),0)</f>
        <v>0</v>
      </c>
      <c r="G101" s="589">
        <f>IFERROR(IF(VLOOKUP(G$2,MODULY_CBA!$B$3:$N$23,13,0)&lt;='TCO TO BE- SW'!$D101,SUM('TCO TO BE- SW'!G$37:G$46)*VLOOKUP('TCO TO BE- SW'!G$2,MODULY_CBA!$B$3:$L$23,10,0),0),0)</f>
        <v>0</v>
      </c>
      <c r="H101" s="589">
        <f>IFERROR(IF(VLOOKUP(H$2,MODULY_CBA!$B$3:$N$23,13,0)&lt;='TCO TO BE- SW'!$D101,SUM('TCO TO BE- SW'!H$37:H$46)*VLOOKUP('TCO TO BE- SW'!H$2,MODULY_CBA!$B$3:$L$23,10,0),0),0)</f>
        <v>0</v>
      </c>
      <c r="I101" s="589">
        <f>IFERROR(IF(VLOOKUP(I$2,MODULY_CBA!$B$3:$N$23,13,0)&lt;='TCO TO BE- SW'!$D101,SUM('TCO TO BE- SW'!I$37:I$46)*VLOOKUP('TCO TO BE- SW'!I$2,MODULY_CBA!$B$3:$L$23,10,0),0),0)</f>
        <v>0</v>
      </c>
      <c r="J101" s="589">
        <f>IFERROR(IF(VLOOKUP(J$2,MODULY_CBA!$B$3:$N$23,13,0)&lt;='TCO TO BE- SW'!$D101,SUM('TCO TO BE- SW'!J$37:J$46)*VLOOKUP('TCO TO BE- SW'!J$2,MODULY_CBA!$B$3:$L$23,10,0),0),0)</f>
        <v>0</v>
      </c>
      <c r="K101" s="589">
        <f>IFERROR(IF(VLOOKUP(K$2,MODULY_CBA!$B$3:$N$23,13,0)&lt;='TCO TO BE- SW'!$D101,SUM('TCO TO BE- SW'!K$37:K$46)*VLOOKUP('TCO TO BE- SW'!K$2,MODULY_CBA!$B$3:$L$23,10,0),0),0)</f>
        <v>0</v>
      </c>
      <c r="L101" s="589">
        <f>IFERROR(IF(VLOOKUP(L$2,MODULY_CBA!$B$3:$N$23,13,0)&lt;='TCO TO BE- SW'!$D101,SUM('TCO TO BE- SW'!L$37:L$46)*VLOOKUP('TCO TO BE- SW'!L$2,MODULY_CBA!$B$3:$L$23,10,0),0),0)</f>
        <v>0</v>
      </c>
      <c r="M101" s="589">
        <f>IFERROR(IF(VLOOKUP(M$2,MODULY_CBA!$B$3:$N$23,13,0)&lt;='TCO TO BE- SW'!$D101,SUM('TCO TO BE- SW'!M$37:M$46)*VLOOKUP('TCO TO BE- SW'!M$2,MODULY_CBA!$B$3:$L$23,10,0),0),0)</f>
        <v>0</v>
      </c>
      <c r="N101" s="589">
        <f>IFERROR(IF(VLOOKUP(N$2,MODULY_CBA!$B$3:$N$23,13,0)&lt;='TCO TO BE- SW'!$D101,SUM('TCO TO BE- SW'!N$37:N$46)*VLOOKUP('TCO TO BE- SW'!N$2,MODULY_CBA!$B$3:$L$23,10,0),0),0)</f>
        <v>0</v>
      </c>
      <c r="O101" s="589">
        <f>IFERROR(IF(VLOOKUP(O$2,MODULY_CBA!$B$3:$N$23,13,0)&lt;='TCO TO BE- SW'!$D101,SUM('TCO TO BE- SW'!O$37:O$46)*VLOOKUP('TCO TO BE- SW'!O$2,MODULY_CBA!$B$3:$L$23,10,0),0),0)</f>
        <v>0</v>
      </c>
      <c r="P101" s="589">
        <f>IFERROR(IF(VLOOKUP(P$2,MODULY_CBA!$B$3:$N$23,13,0)&lt;='TCO TO BE- SW'!$D101,SUM('TCO TO BE- SW'!P$37:P$46)*VLOOKUP('TCO TO BE- SW'!P$2,MODULY_CBA!$B$3:$L$23,10,0),0),0)</f>
        <v>0</v>
      </c>
      <c r="Q101" s="589">
        <f>IFERROR(IF(VLOOKUP(Q$2,MODULY_CBA!$B$3:$N$23,13,0)&lt;='TCO TO BE- SW'!$D101,SUM('TCO TO BE- SW'!Q$37:Q$46)*VLOOKUP('TCO TO BE- SW'!Q$2,MODULY_CBA!$B$3:$L$23,10,0),0),0)</f>
        <v>0</v>
      </c>
      <c r="R101" s="589">
        <f>IFERROR(IF(VLOOKUP(R$2,MODULY_CBA!$B$3:$N$23,13,0)&lt;='TCO TO BE- SW'!$D101,SUM('TCO TO BE- SW'!R$37:R$46)*VLOOKUP('TCO TO BE- SW'!R$2,MODULY_CBA!$B$3:$L$23,10,0),0),0)</f>
        <v>0</v>
      </c>
      <c r="S101" s="589">
        <f>IFERROR(IF(VLOOKUP(S$2,MODULY_CBA!$B$3:$N$23,13,0)&lt;='TCO TO BE- SW'!$D101,SUM('TCO TO BE- SW'!S$37:S$46)*VLOOKUP('TCO TO BE- SW'!S$2,MODULY_CBA!$B$3:$L$23,10,0),0),0)</f>
        <v>0</v>
      </c>
      <c r="T101" s="589">
        <f>IFERROR(IF(VLOOKUP(T$2,MODULY_CBA!$B$3:$N$23,13,0)&lt;='TCO TO BE- SW'!$D101,SUM('TCO TO BE- SW'!T$37:T$46)*VLOOKUP('TCO TO BE- SW'!T$2,MODULY_CBA!$B$3:$L$23,10,0),0),0)</f>
        <v>0</v>
      </c>
      <c r="U101" s="589">
        <f>IFERROR(IF(VLOOKUP(U$2,MODULY_CBA!$B$3:$N$23,13,0)&lt;='TCO TO BE- SW'!$D101,SUM('TCO TO BE- SW'!U$37:U$46)*VLOOKUP('TCO TO BE- SW'!U$2,MODULY_CBA!$B$3:$L$23,10,0),0),0)</f>
        <v>0</v>
      </c>
      <c r="V101" s="589">
        <f>IFERROR(IF(VLOOKUP(V$2,MODULY_CBA!$B$3:$N$23,13,0)&lt;='TCO TO BE- SW'!$D101,SUM('TCO TO BE- SW'!V$37:V$46)*VLOOKUP('TCO TO BE- SW'!V$2,MODULY_CBA!$B$3:$L$23,10,0),0),0)</f>
        <v>0</v>
      </c>
      <c r="W101" s="589">
        <f>IFERROR(IF(VLOOKUP(W$2,MODULY_CBA!$B$3:$N$23,13,0)&lt;='TCO TO BE- SW'!$D101,SUM('TCO TO BE- SW'!W$37:W$46)*VLOOKUP('TCO TO BE- SW'!W$2,MODULY_CBA!$B$3:$L$23,10,0),0),0)</f>
        <v>0</v>
      </c>
      <c r="X101" s="589">
        <f>IFERROR(IF(VLOOKUP(X$2,MODULY_CBA!$B$3:$N$23,13,0)&lt;='TCO TO BE- SW'!$D101,SUM('TCO TO BE- SW'!X$37:X$46)*VLOOKUP('TCO TO BE- SW'!X$2,MODULY_CBA!$B$3:$L$23,10,0),0),0)</f>
        <v>0</v>
      </c>
      <c r="Y101" s="589">
        <f>IFERROR(IF(VLOOKUP(Y$2,MODULY_CBA!$B$3:$N$23,13,0)&lt;='TCO TO BE- SW'!$D101,SUM('TCO TO BE- SW'!Y$37:Y$46)*VLOOKUP('TCO TO BE- SW'!Y$2,MODULY_CBA!$B$3:$L$23,10,0),0),0)</f>
        <v>0</v>
      </c>
      <c r="Z101" s="589">
        <f>IFERROR(IF(VLOOKUP(Z$2,MODULY_CBA!$B$3:$N$23,13,0)&lt;='TCO TO BE- SW'!$D101,SUM('TCO TO BE- SW'!Z$37:Z$46)*VLOOKUP('TCO TO BE- SW'!Z$2,MODULY_CBA!$B$3:$L$23,10,0),0),0)</f>
        <v>0</v>
      </c>
    </row>
    <row r="102" spans="1:26" outlineLevel="2">
      <c r="A102" s="824"/>
      <c r="B102" s="825"/>
      <c r="C102" s="825"/>
      <c r="D102" s="64">
        <v>3</v>
      </c>
      <c r="E102" s="68">
        <f t="shared" si="14"/>
        <v>0</v>
      </c>
      <c r="F102" s="589">
        <f>IFERROR(IF(VLOOKUP(F$2,MODULY_CBA!$B$3:$N$23,13,0)&lt;='TCO TO BE- SW'!$D102,SUM('TCO TO BE- SW'!F$37:F$46)*VLOOKUP('TCO TO BE- SW'!F$2,MODULY_CBA!$B$3:$L$23,10,0),0),0)</f>
        <v>0</v>
      </c>
      <c r="G102" s="589">
        <f>IFERROR(IF(VLOOKUP(G$2,MODULY_CBA!$B$3:$N$23,13,0)&lt;='TCO TO BE- SW'!$D102,SUM('TCO TO BE- SW'!G$37:G$46)*VLOOKUP('TCO TO BE- SW'!G$2,MODULY_CBA!$B$3:$L$23,10,0),0),0)</f>
        <v>0</v>
      </c>
      <c r="H102" s="589">
        <f>IFERROR(IF(VLOOKUP(H$2,MODULY_CBA!$B$3:$N$23,13,0)&lt;='TCO TO BE- SW'!$D102,SUM('TCO TO BE- SW'!H$37:H$46)*VLOOKUP('TCO TO BE- SW'!H$2,MODULY_CBA!$B$3:$L$23,10,0),0),0)</f>
        <v>0</v>
      </c>
      <c r="I102" s="589">
        <f>IFERROR(IF(VLOOKUP(I$2,MODULY_CBA!$B$3:$N$23,13,0)&lt;='TCO TO BE- SW'!$D102,SUM('TCO TO BE- SW'!I$37:I$46)*VLOOKUP('TCO TO BE- SW'!I$2,MODULY_CBA!$B$3:$L$23,10,0),0),0)</f>
        <v>0</v>
      </c>
      <c r="J102" s="589">
        <f>IFERROR(IF(VLOOKUP(J$2,MODULY_CBA!$B$3:$N$23,13,0)&lt;='TCO TO BE- SW'!$D102,SUM('TCO TO BE- SW'!J$37:J$46)*VLOOKUP('TCO TO BE- SW'!J$2,MODULY_CBA!$B$3:$L$23,10,0),0),0)</f>
        <v>0</v>
      </c>
      <c r="K102" s="589">
        <f>IFERROR(IF(VLOOKUP(K$2,MODULY_CBA!$B$3:$N$23,13,0)&lt;='TCO TO BE- SW'!$D102,SUM('TCO TO BE- SW'!K$37:K$46)*VLOOKUP('TCO TO BE- SW'!K$2,MODULY_CBA!$B$3:$L$23,10,0),0),0)</f>
        <v>0</v>
      </c>
      <c r="L102" s="589">
        <f>IFERROR(IF(VLOOKUP(L$2,MODULY_CBA!$B$3:$N$23,13,0)&lt;='TCO TO BE- SW'!$D102,SUM('TCO TO BE- SW'!L$37:L$46)*VLOOKUP('TCO TO BE- SW'!L$2,MODULY_CBA!$B$3:$L$23,10,0),0),0)</f>
        <v>0</v>
      </c>
      <c r="M102" s="589">
        <f>IFERROR(IF(VLOOKUP(M$2,MODULY_CBA!$B$3:$N$23,13,0)&lt;='TCO TO BE- SW'!$D102,SUM('TCO TO BE- SW'!M$37:M$46)*VLOOKUP('TCO TO BE- SW'!M$2,MODULY_CBA!$B$3:$L$23,10,0),0),0)</f>
        <v>0</v>
      </c>
      <c r="N102" s="589">
        <f>IFERROR(IF(VLOOKUP(N$2,MODULY_CBA!$B$3:$N$23,13,0)&lt;='TCO TO BE- SW'!$D102,SUM('TCO TO BE- SW'!N$37:N$46)*VLOOKUP('TCO TO BE- SW'!N$2,MODULY_CBA!$B$3:$L$23,10,0),0),0)</f>
        <v>0</v>
      </c>
      <c r="O102" s="589">
        <f>IFERROR(IF(VLOOKUP(O$2,MODULY_CBA!$B$3:$N$23,13,0)&lt;='TCO TO BE- SW'!$D102,SUM('TCO TO BE- SW'!O$37:O$46)*VLOOKUP('TCO TO BE- SW'!O$2,MODULY_CBA!$B$3:$L$23,10,0),0),0)</f>
        <v>0</v>
      </c>
      <c r="P102" s="589">
        <f>IFERROR(IF(VLOOKUP(P$2,MODULY_CBA!$B$3:$N$23,13,0)&lt;='TCO TO BE- SW'!$D102,SUM('TCO TO BE- SW'!P$37:P$46)*VLOOKUP('TCO TO BE- SW'!P$2,MODULY_CBA!$B$3:$L$23,10,0),0),0)</f>
        <v>0</v>
      </c>
      <c r="Q102" s="589">
        <f>IFERROR(IF(VLOOKUP(Q$2,MODULY_CBA!$B$3:$N$23,13,0)&lt;='TCO TO BE- SW'!$D102,SUM('TCO TO BE- SW'!Q$37:Q$46)*VLOOKUP('TCO TO BE- SW'!Q$2,MODULY_CBA!$B$3:$L$23,10,0),0),0)</f>
        <v>0</v>
      </c>
      <c r="R102" s="589">
        <f>IFERROR(IF(VLOOKUP(R$2,MODULY_CBA!$B$3:$N$23,13,0)&lt;='TCO TO BE- SW'!$D102,SUM('TCO TO BE- SW'!R$37:R$46)*VLOOKUP('TCO TO BE- SW'!R$2,MODULY_CBA!$B$3:$L$23,10,0),0),0)</f>
        <v>0</v>
      </c>
      <c r="S102" s="589">
        <f>IFERROR(IF(VLOOKUP(S$2,MODULY_CBA!$B$3:$N$23,13,0)&lt;='TCO TO BE- SW'!$D102,SUM('TCO TO BE- SW'!S$37:S$46)*VLOOKUP('TCO TO BE- SW'!S$2,MODULY_CBA!$B$3:$L$23,10,0),0),0)</f>
        <v>0</v>
      </c>
      <c r="T102" s="589">
        <f>IFERROR(IF(VLOOKUP(T$2,MODULY_CBA!$B$3:$N$23,13,0)&lt;='TCO TO BE- SW'!$D102,SUM('TCO TO BE- SW'!T$37:T$46)*VLOOKUP('TCO TO BE- SW'!T$2,MODULY_CBA!$B$3:$L$23,10,0),0),0)</f>
        <v>0</v>
      </c>
      <c r="U102" s="589">
        <f>IFERROR(IF(VLOOKUP(U$2,MODULY_CBA!$B$3:$N$23,13,0)&lt;='TCO TO BE- SW'!$D102,SUM('TCO TO BE- SW'!U$37:U$46)*VLOOKUP('TCO TO BE- SW'!U$2,MODULY_CBA!$B$3:$L$23,10,0),0),0)</f>
        <v>0</v>
      </c>
      <c r="V102" s="589">
        <f>IFERROR(IF(VLOOKUP(V$2,MODULY_CBA!$B$3:$N$23,13,0)&lt;='TCO TO BE- SW'!$D102,SUM('TCO TO BE- SW'!V$37:V$46)*VLOOKUP('TCO TO BE- SW'!V$2,MODULY_CBA!$B$3:$L$23,10,0),0),0)</f>
        <v>0</v>
      </c>
      <c r="W102" s="589">
        <f>IFERROR(IF(VLOOKUP(W$2,MODULY_CBA!$B$3:$N$23,13,0)&lt;='TCO TO BE- SW'!$D102,SUM('TCO TO BE- SW'!W$37:W$46)*VLOOKUP('TCO TO BE- SW'!W$2,MODULY_CBA!$B$3:$L$23,10,0),0),0)</f>
        <v>0</v>
      </c>
      <c r="X102" s="589">
        <f>IFERROR(IF(VLOOKUP(X$2,MODULY_CBA!$B$3:$N$23,13,0)&lt;='TCO TO BE- SW'!$D102,SUM('TCO TO BE- SW'!X$37:X$46)*VLOOKUP('TCO TO BE- SW'!X$2,MODULY_CBA!$B$3:$L$23,10,0),0),0)</f>
        <v>0</v>
      </c>
      <c r="Y102" s="589">
        <f>IFERROR(IF(VLOOKUP(Y$2,MODULY_CBA!$B$3:$N$23,13,0)&lt;='TCO TO BE- SW'!$D102,SUM('TCO TO BE- SW'!Y$37:Y$46)*VLOOKUP('TCO TO BE- SW'!Y$2,MODULY_CBA!$B$3:$L$23,10,0),0),0)</f>
        <v>0</v>
      </c>
      <c r="Z102" s="589">
        <f>IFERROR(IF(VLOOKUP(Z$2,MODULY_CBA!$B$3:$N$23,13,0)&lt;='TCO TO BE- SW'!$D102,SUM('TCO TO BE- SW'!Z$37:Z$46)*VLOOKUP('TCO TO BE- SW'!Z$2,MODULY_CBA!$B$3:$L$23,10,0),0),0)</f>
        <v>0</v>
      </c>
    </row>
    <row r="103" spans="1:26" outlineLevel="2">
      <c r="A103" s="824"/>
      <c r="B103" s="825"/>
      <c r="C103" s="825"/>
      <c r="D103" s="64">
        <v>4</v>
      </c>
      <c r="E103" s="68">
        <f t="shared" si="14"/>
        <v>0</v>
      </c>
      <c r="F103" s="589">
        <f>IFERROR(IF(VLOOKUP(F$2,MODULY_CBA!$B$3:$N$23,13,0)&lt;='TCO TO BE- SW'!$D103,SUM('TCO TO BE- SW'!F$37:F$46)*VLOOKUP('TCO TO BE- SW'!F$2,MODULY_CBA!$B$3:$L$23,10,0),0),0)</f>
        <v>0</v>
      </c>
      <c r="G103" s="589">
        <f>IFERROR(IF(VLOOKUP(G$2,MODULY_CBA!$B$3:$N$23,13,0)&lt;='TCO TO BE- SW'!$D103,SUM('TCO TO BE- SW'!G$37:G$46)*VLOOKUP('TCO TO BE- SW'!G$2,MODULY_CBA!$B$3:$L$23,10,0),0),0)</f>
        <v>0</v>
      </c>
      <c r="H103" s="589">
        <f>IFERROR(IF(VLOOKUP(H$2,MODULY_CBA!$B$3:$N$23,13,0)&lt;='TCO TO BE- SW'!$D103,SUM('TCO TO BE- SW'!H$37:H$46)*VLOOKUP('TCO TO BE- SW'!H$2,MODULY_CBA!$B$3:$L$23,10,0),0),0)</f>
        <v>0</v>
      </c>
      <c r="I103" s="589">
        <f>IFERROR(IF(VLOOKUP(I$2,MODULY_CBA!$B$3:$N$23,13,0)&lt;='TCO TO BE- SW'!$D103,SUM('TCO TO BE- SW'!I$37:I$46)*VLOOKUP('TCO TO BE- SW'!I$2,MODULY_CBA!$B$3:$L$23,10,0),0),0)</f>
        <v>0</v>
      </c>
      <c r="J103" s="589">
        <f>IFERROR(IF(VLOOKUP(J$2,MODULY_CBA!$B$3:$N$23,13,0)&lt;='TCO TO BE- SW'!$D103,SUM('TCO TO BE- SW'!J$37:J$46)*VLOOKUP('TCO TO BE- SW'!J$2,MODULY_CBA!$B$3:$L$23,10,0),0),0)</f>
        <v>0</v>
      </c>
      <c r="K103" s="589">
        <f>IFERROR(IF(VLOOKUP(K$2,MODULY_CBA!$B$3:$N$23,13,0)&lt;='TCO TO BE- SW'!$D103,SUM('TCO TO BE- SW'!K$37:K$46)*VLOOKUP('TCO TO BE- SW'!K$2,MODULY_CBA!$B$3:$L$23,10,0),0),0)</f>
        <v>0</v>
      </c>
      <c r="L103" s="589">
        <f>IFERROR(IF(VLOOKUP(L$2,MODULY_CBA!$B$3:$N$23,13,0)&lt;='TCO TO BE- SW'!$D103,SUM('TCO TO BE- SW'!L$37:L$46)*VLOOKUP('TCO TO BE- SW'!L$2,MODULY_CBA!$B$3:$L$23,10,0),0),0)</f>
        <v>0</v>
      </c>
      <c r="M103" s="589">
        <f>IFERROR(IF(VLOOKUP(M$2,MODULY_CBA!$B$3:$N$23,13,0)&lt;='TCO TO BE- SW'!$D103,SUM('TCO TO BE- SW'!M$37:M$46)*VLOOKUP('TCO TO BE- SW'!M$2,MODULY_CBA!$B$3:$L$23,10,0),0),0)</f>
        <v>0</v>
      </c>
      <c r="N103" s="589">
        <f>IFERROR(IF(VLOOKUP(N$2,MODULY_CBA!$B$3:$N$23,13,0)&lt;='TCO TO BE- SW'!$D103,SUM('TCO TO BE- SW'!N$37:N$46)*VLOOKUP('TCO TO BE- SW'!N$2,MODULY_CBA!$B$3:$L$23,10,0),0),0)</f>
        <v>0</v>
      </c>
      <c r="O103" s="589">
        <f>IFERROR(IF(VLOOKUP(O$2,MODULY_CBA!$B$3:$N$23,13,0)&lt;='TCO TO BE- SW'!$D103,SUM('TCO TO BE- SW'!O$37:O$46)*VLOOKUP('TCO TO BE- SW'!O$2,MODULY_CBA!$B$3:$L$23,10,0),0),0)</f>
        <v>0</v>
      </c>
      <c r="P103" s="589">
        <f>IFERROR(IF(VLOOKUP(P$2,MODULY_CBA!$B$3:$N$23,13,0)&lt;='TCO TO BE- SW'!$D103,SUM('TCO TO BE- SW'!P$37:P$46)*VLOOKUP('TCO TO BE- SW'!P$2,MODULY_CBA!$B$3:$L$23,10,0),0),0)</f>
        <v>0</v>
      </c>
      <c r="Q103" s="589">
        <f>IFERROR(IF(VLOOKUP(Q$2,MODULY_CBA!$B$3:$N$23,13,0)&lt;='TCO TO BE- SW'!$D103,SUM('TCO TO BE- SW'!Q$37:Q$46)*VLOOKUP('TCO TO BE- SW'!Q$2,MODULY_CBA!$B$3:$L$23,10,0),0),0)</f>
        <v>0</v>
      </c>
      <c r="R103" s="589">
        <f>IFERROR(IF(VLOOKUP(R$2,MODULY_CBA!$B$3:$N$23,13,0)&lt;='TCO TO BE- SW'!$D103,SUM('TCO TO BE- SW'!R$37:R$46)*VLOOKUP('TCO TO BE- SW'!R$2,MODULY_CBA!$B$3:$L$23,10,0),0),0)</f>
        <v>0</v>
      </c>
      <c r="S103" s="589">
        <f>IFERROR(IF(VLOOKUP(S$2,MODULY_CBA!$B$3:$N$23,13,0)&lt;='TCO TO BE- SW'!$D103,SUM('TCO TO BE- SW'!S$37:S$46)*VLOOKUP('TCO TO BE- SW'!S$2,MODULY_CBA!$B$3:$L$23,10,0),0),0)</f>
        <v>0</v>
      </c>
      <c r="T103" s="589">
        <f>IFERROR(IF(VLOOKUP(T$2,MODULY_CBA!$B$3:$N$23,13,0)&lt;='TCO TO BE- SW'!$D103,SUM('TCO TO BE- SW'!T$37:T$46)*VLOOKUP('TCO TO BE- SW'!T$2,MODULY_CBA!$B$3:$L$23,10,0),0),0)</f>
        <v>0</v>
      </c>
      <c r="U103" s="589">
        <f>IFERROR(IF(VLOOKUP(U$2,MODULY_CBA!$B$3:$N$23,13,0)&lt;='TCO TO BE- SW'!$D103,SUM('TCO TO BE- SW'!U$37:U$46)*VLOOKUP('TCO TO BE- SW'!U$2,MODULY_CBA!$B$3:$L$23,10,0),0),0)</f>
        <v>0</v>
      </c>
      <c r="V103" s="589">
        <f>IFERROR(IF(VLOOKUP(V$2,MODULY_CBA!$B$3:$N$23,13,0)&lt;='TCO TO BE- SW'!$D103,SUM('TCO TO BE- SW'!V$37:V$46)*VLOOKUP('TCO TO BE- SW'!V$2,MODULY_CBA!$B$3:$L$23,10,0),0),0)</f>
        <v>0</v>
      </c>
      <c r="W103" s="589">
        <f>IFERROR(IF(VLOOKUP(W$2,MODULY_CBA!$B$3:$N$23,13,0)&lt;='TCO TO BE- SW'!$D103,SUM('TCO TO BE- SW'!W$37:W$46)*VLOOKUP('TCO TO BE- SW'!W$2,MODULY_CBA!$B$3:$L$23,10,0),0),0)</f>
        <v>0</v>
      </c>
      <c r="X103" s="589">
        <f>IFERROR(IF(VLOOKUP(X$2,MODULY_CBA!$B$3:$N$23,13,0)&lt;='TCO TO BE- SW'!$D103,SUM('TCO TO BE- SW'!X$37:X$46)*VLOOKUP('TCO TO BE- SW'!X$2,MODULY_CBA!$B$3:$L$23,10,0),0),0)</f>
        <v>0</v>
      </c>
      <c r="Y103" s="589">
        <f>IFERROR(IF(VLOOKUP(Y$2,MODULY_CBA!$B$3:$N$23,13,0)&lt;='TCO TO BE- SW'!$D103,SUM('TCO TO BE- SW'!Y$37:Y$46)*VLOOKUP('TCO TO BE- SW'!Y$2,MODULY_CBA!$B$3:$L$23,10,0),0),0)</f>
        <v>0</v>
      </c>
      <c r="Z103" s="589">
        <f>IFERROR(IF(VLOOKUP(Z$2,MODULY_CBA!$B$3:$N$23,13,0)&lt;='TCO TO BE- SW'!$D103,SUM('TCO TO BE- SW'!Z$37:Z$46)*VLOOKUP('TCO TO BE- SW'!Z$2,MODULY_CBA!$B$3:$L$23,10,0),0),0)</f>
        <v>0</v>
      </c>
    </row>
    <row r="104" spans="1:26" outlineLevel="2">
      <c r="A104" s="824"/>
      <c r="B104" s="825"/>
      <c r="C104" s="825"/>
      <c r="D104" s="64">
        <v>5</v>
      </c>
      <c r="E104" s="68">
        <f t="shared" si="14"/>
        <v>0</v>
      </c>
      <c r="F104" s="589">
        <f>IFERROR(IF(VLOOKUP(F$2,MODULY_CBA!$B$3:$N$23,13,0)&lt;='TCO TO BE- SW'!$D104,SUM('TCO TO BE- SW'!F$37:F$46)*VLOOKUP('TCO TO BE- SW'!F$2,MODULY_CBA!$B$3:$L$23,10,0),0),0)</f>
        <v>0</v>
      </c>
      <c r="G104" s="589">
        <f>IFERROR(IF(VLOOKUP(G$2,MODULY_CBA!$B$3:$N$23,13,0)&lt;='TCO TO BE- SW'!$D104,SUM('TCO TO BE- SW'!G$37:G$46)*VLOOKUP('TCO TO BE- SW'!G$2,MODULY_CBA!$B$3:$L$23,10,0),0),0)</f>
        <v>0</v>
      </c>
      <c r="H104" s="589">
        <f>IFERROR(IF(VLOOKUP(H$2,MODULY_CBA!$B$3:$N$23,13,0)&lt;='TCO TO BE- SW'!$D104,SUM('TCO TO BE- SW'!H$37:H$46)*VLOOKUP('TCO TO BE- SW'!H$2,MODULY_CBA!$B$3:$L$23,10,0),0),0)</f>
        <v>0</v>
      </c>
      <c r="I104" s="589">
        <f>IFERROR(IF(VLOOKUP(I$2,MODULY_CBA!$B$3:$N$23,13,0)&lt;='TCO TO BE- SW'!$D104,SUM('TCO TO BE- SW'!I$37:I$46)*VLOOKUP('TCO TO BE- SW'!I$2,MODULY_CBA!$B$3:$L$23,10,0),0),0)</f>
        <v>0</v>
      </c>
      <c r="J104" s="589">
        <f>IFERROR(IF(VLOOKUP(J$2,MODULY_CBA!$B$3:$N$23,13,0)&lt;='TCO TO BE- SW'!$D104,SUM('TCO TO BE- SW'!J$37:J$46)*VLOOKUP('TCO TO BE- SW'!J$2,MODULY_CBA!$B$3:$L$23,10,0),0),0)</f>
        <v>0</v>
      </c>
      <c r="K104" s="589">
        <f>IFERROR(IF(VLOOKUP(K$2,MODULY_CBA!$B$3:$N$23,13,0)&lt;='TCO TO BE- SW'!$D104,SUM('TCO TO BE- SW'!K$37:K$46)*VLOOKUP('TCO TO BE- SW'!K$2,MODULY_CBA!$B$3:$L$23,10,0),0),0)</f>
        <v>0</v>
      </c>
      <c r="L104" s="589">
        <f>IFERROR(IF(VLOOKUP(L$2,MODULY_CBA!$B$3:$N$23,13,0)&lt;='TCO TO BE- SW'!$D104,SUM('TCO TO BE- SW'!L$37:L$46)*VLOOKUP('TCO TO BE- SW'!L$2,MODULY_CBA!$B$3:$L$23,10,0),0),0)</f>
        <v>0</v>
      </c>
      <c r="M104" s="589">
        <f>IFERROR(IF(VLOOKUP(M$2,MODULY_CBA!$B$3:$N$23,13,0)&lt;='TCO TO BE- SW'!$D104,SUM('TCO TO BE- SW'!M$37:M$46)*VLOOKUP('TCO TO BE- SW'!M$2,MODULY_CBA!$B$3:$L$23,10,0),0),0)</f>
        <v>0</v>
      </c>
      <c r="N104" s="589">
        <f>IFERROR(IF(VLOOKUP(N$2,MODULY_CBA!$B$3:$N$23,13,0)&lt;='TCO TO BE- SW'!$D104,SUM('TCO TO BE- SW'!N$37:N$46)*VLOOKUP('TCO TO BE- SW'!N$2,MODULY_CBA!$B$3:$L$23,10,0),0),0)</f>
        <v>0</v>
      </c>
      <c r="O104" s="589">
        <f>IFERROR(IF(VLOOKUP(O$2,MODULY_CBA!$B$3:$N$23,13,0)&lt;='TCO TO BE- SW'!$D104,SUM('TCO TO BE- SW'!O$37:O$46)*VLOOKUP('TCO TO BE- SW'!O$2,MODULY_CBA!$B$3:$L$23,10,0),0),0)</f>
        <v>0</v>
      </c>
      <c r="P104" s="589">
        <f>IFERROR(IF(VLOOKUP(P$2,MODULY_CBA!$B$3:$N$23,13,0)&lt;='TCO TO BE- SW'!$D104,SUM('TCO TO BE- SW'!P$37:P$46)*VLOOKUP('TCO TO BE- SW'!P$2,MODULY_CBA!$B$3:$L$23,10,0),0),0)</f>
        <v>0</v>
      </c>
      <c r="Q104" s="589">
        <f>IFERROR(IF(VLOOKUP(Q$2,MODULY_CBA!$B$3:$N$23,13,0)&lt;='TCO TO BE- SW'!$D104,SUM('TCO TO BE- SW'!Q$37:Q$46)*VLOOKUP('TCO TO BE- SW'!Q$2,MODULY_CBA!$B$3:$L$23,10,0),0),0)</f>
        <v>0</v>
      </c>
      <c r="R104" s="589">
        <f>IFERROR(IF(VLOOKUP(R$2,MODULY_CBA!$B$3:$N$23,13,0)&lt;='TCO TO BE- SW'!$D104,SUM('TCO TO BE- SW'!R$37:R$46)*VLOOKUP('TCO TO BE- SW'!R$2,MODULY_CBA!$B$3:$L$23,10,0),0),0)</f>
        <v>0</v>
      </c>
      <c r="S104" s="589">
        <f>IFERROR(IF(VLOOKUP(S$2,MODULY_CBA!$B$3:$N$23,13,0)&lt;='TCO TO BE- SW'!$D104,SUM('TCO TO BE- SW'!S$37:S$46)*VLOOKUP('TCO TO BE- SW'!S$2,MODULY_CBA!$B$3:$L$23,10,0),0),0)</f>
        <v>0</v>
      </c>
      <c r="T104" s="589">
        <f>IFERROR(IF(VLOOKUP(T$2,MODULY_CBA!$B$3:$N$23,13,0)&lt;='TCO TO BE- SW'!$D104,SUM('TCO TO BE- SW'!T$37:T$46)*VLOOKUP('TCO TO BE- SW'!T$2,MODULY_CBA!$B$3:$L$23,10,0),0),0)</f>
        <v>0</v>
      </c>
      <c r="U104" s="589">
        <f>IFERROR(IF(VLOOKUP(U$2,MODULY_CBA!$B$3:$N$23,13,0)&lt;='TCO TO BE- SW'!$D104,SUM('TCO TO BE- SW'!U$37:U$46)*VLOOKUP('TCO TO BE- SW'!U$2,MODULY_CBA!$B$3:$L$23,10,0),0),0)</f>
        <v>0</v>
      </c>
      <c r="V104" s="589">
        <f>IFERROR(IF(VLOOKUP(V$2,MODULY_CBA!$B$3:$N$23,13,0)&lt;='TCO TO BE- SW'!$D104,SUM('TCO TO BE- SW'!V$37:V$46)*VLOOKUP('TCO TO BE- SW'!V$2,MODULY_CBA!$B$3:$L$23,10,0),0),0)</f>
        <v>0</v>
      </c>
      <c r="W104" s="589">
        <f>IFERROR(IF(VLOOKUP(W$2,MODULY_CBA!$B$3:$N$23,13,0)&lt;='TCO TO BE- SW'!$D104,SUM('TCO TO BE- SW'!W$37:W$46)*VLOOKUP('TCO TO BE- SW'!W$2,MODULY_CBA!$B$3:$L$23,10,0),0),0)</f>
        <v>0</v>
      </c>
      <c r="X104" s="589">
        <f>IFERROR(IF(VLOOKUP(X$2,MODULY_CBA!$B$3:$N$23,13,0)&lt;='TCO TO BE- SW'!$D104,SUM('TCO TO BE- SW'!X$37:X$46)*VLOOKUP('TCO TO BE- SW'!X$2,MODULY_CBA!$B$3:$L$23,10,0),0),0)</f>
        <v>0</v>
      </c>
      <c r="Y104" s="589">
        <f>IFERROR(IF(VLOOKUP(Y$2,MODULY_CBA!$B$3:$N$23,13,0)&lt;='TCO TO BE- SW'!$D104,SUM('TCO TO BE- SW'!Y$37:Y$46)*VLOOKUP('TCO TO BE- SW'!Y$2,MODULY_CBA!$B$3:$L$23,10,0),0),0)</f>
        <v>0</v>
      </c>
      <c r="Z104" s="589">
        <f>IFERROR(IF(VLOOKUP(Z$2,MODULY_CBA!$B$3:$N$23,13,0)&lt;='TCO TO BE- SW'!$D104,SUM('TCO TO BE- SW'!Z$37:Z$46)*VLOOKUP('TCO TO BE- SW'!Z$2,MODULY_CBA!$B$3:$L$23,10,0),0),0)</f>
        <v>0</v>
      </c>
    </row>
    <row r="105" spans="1:26" outlineLevel="2">
      <c r="A105" s="824"/>
      <c r="B105" s="825"/>
      <c r="C105" s="825"/>
      <c r="D105" s="64">
        <v>6</v>
      </c>
      <c r="E105" s="68">
        <f t="shared" si="14"/>
        <v>0</v>
      </c>
      <c r="F105" s="589">
        <f>IFERROR(IF(VLOOKUP(F$2,MODULY_CBA!$B$3:$N$23,13,0)&lt;='TCO TO BE- SW'!$D105,SUM('TCO TO BE- SW'!F$37:F$46)*VLOOKUP('TCO TO BE- SW'!F$2,MODULY_CBA!$B$3:$L$23,10,0),0),0)</f>
        <v>0</v>
      </c>
      <c r="G105" s="589">
        <f>IFERROR(IF(VLOOKUP(G$2,MODULY_CBA!$B$3:$N$23,13,0)&lt;='TCO TO BE- SW'!$D105,SUM('TCO TO BE- SW'!G$37:G$46)*VLOOKUP('TCO TO BE- SW'!G$2,MODULY_CBA!$B$3:$L$23,10,0),0),0)</f>
        <v>0</v>
      </c>
      <c r="H105" s="589">
        <f>IFERROR(IF(VLOOKUP(H$2,MODULY_CBA!$B$3:$N$23,13,0)&lt;='TCO TO BE- SW'!$D105,SUM('TCO TO BE- SW'!H$37:H$46)*VLOOKUP('TCO TO BE- SW'!H$2,MODULY_CBA!$B$3:$L$23,10,0),0),0)</f>
        <v>0</v>
      </c>
      <c r="I105" s="589">
        <f>IFERROR(IF(VLOOKUP(I$2,MODULY_CBA!$B$3:$N$23,13,0)&lt;='TCO TO BE- SW'!$D105,SUM('TCO TO BE- SW'!I$37:I$46)*VLOOKUP('TCO TO BE- SW'!I$2,MODULY_CBA!$B$3:$L$23,10,0),0),0)</f>
        <v>0</v>
      </c>
      <c r="J105" s="589">
        <f>IFERROR(IF(VLOOKUP(J$2,MODULY_CBA!$B$3:$N$23,13,0)&lt;='TCO TO BE- SW'!$D105,SUM('TCO TO BE- SW'!J$37:J$46)*VLOOKUP('TCO TO BE- SW'!J$2,MODULY_CBA!$B$3:$L$23,10,0),0),0)</f>
        <v>0</v>
      </c>
      <c r="K105" s="589">
        <f>IFERROR(IF(VLOOKUP(K$2,MODULY_CBA!$B$3:$N$23,13,0)&lt;='TCO TO BE- SW'!$D105,SUM('TCO TO BE- SW'!K$37:K$46)*VLOOKUP('TCO TO BE- SW'!K$2,MODULY_CBA!$B$3:$L$23,10,0),0),0)</f>
        <v>0</v>
      </c>
      <c r="L105" s="589">
        <f>IFERROR(IF(VLOOKUP(L$2,MODULY_CBA!$B$3:$N$23,13,0)&lt;='TCO TO BE- SW'!$D105,SUM('TCO TO BE- SW'!L$37:L$46)*VLOOKUP('TCO TO BE- SW'!L$2,MODULY_CBA!$B$3:$L$23,10,0),0),0)</f>
        <v>0</v>
      </c>
      <c r="M105" s="589">
        <f>IFERROR(IF(VLOOKUP(M$2,MODULY_CBA!$B$3:$N$23,13,0)&lt;='TCO TO BE- SW'!$D105,SUM('TCO TO BE- SW'!M$37:M$46)*VLOOKUP('TCO TO BE- SW'!M$2,MODULY_CBA!$B$3:$L$23,10,0),0),0)</f>
        <v>0</v>
      </c>
      <c r="N105" s="589">
        <f>IFERROR(IF(VLOOKUP(N$2,MODULY_CBA!$B$3:$N$23,13,0)&lt;='TCO TO BE- SW'!$D105,SUM('TCO TO BE- SW'!N$37:N$46)*VLOOKUP('TCO TO BE- SW'!N$2,MODULY_CBA!$B$3:$L$23,10,0),0),0)</f>
        <v>0</v>
      </c>
      <c r="O105" s="589">
        <f>IFERROR(IF(VLOOKUP(O$2,MODULY_CBA!$B$3:$N$23,13,0)&lt;='TCO TO BE- SW'!$D105,SUM('TCO TO BE- SW'!O$37:O$46)*VLOOKUP('TCO TO BE- SW'!O$2,MODULY_CBA!$B$3:$L$23,10,0),0),0)</f>
        <v>0</v>
      </c>
      <c r="P105" s="589">
        <f>IFERROR(IF(VLOOKUP(P$2,MODULY_CBA!$B$3:$N$23,13,0)&lt;='TCO TO BE- SW'!$D105,SUM('TCO TO BE- SW'!P$37:P$46)*VLOOKUP('TCO TO BE- SW'!P$2,MODULY_CBA!$B$3:$L$23,10,0),0),0)</f>
        <v>0</v>
      </c>
      <c r="Q105" s="589">
        <f>IFERROR(IF(VLOOKUP(Q$2,MODULY_CBA!$B$3:$N$23,13,0)&lt;='TCO TO BE- SW'!$D105,SUM('TCO TO BE- SW'!Q$37:Q$46)*VLOOKUP('TCO TO BE- SW'!Q$2,MODULY_CBA!$B$3:$L$23,10,0),0),0)</f>
        <v>0</v>
      </c>
      <c r="R105" s="589">
        <f>IFERROR(IF(VLOOKUP(R$2,MODULY_CBA!$B$3:$N$23,13,0)&lt;='TCO TO BE- SW'!$D105,SUM('TCO TO BE- SW'!R$37:R$46)*VLOOKUP('TCO TO BE- SW'!R$2,MODULY_CBA!$B$3:$L$23,10,0),0),0)</f>
        <v>0</v>
      </c>
      <c r="S105" s="589">
        <f>IFERROR(IF(VLOOKUP(S$2,MODULY_CBA!$B$3:$N$23,13,0)&lt;='TCO TO BE- SW'!$D105,SUM('TCO TO BE- SW'!S$37:S$46)*VLOOKUP('TCO TO BE- SW'!S$2,MODULY_CBA!$B$3:$L$23,10,0),0),0)</f>
        <v>0</v>
      </c>
      <c r="T105" s="589">
        <f>IFERROR(IF(VLOOKUP(T$2,MODULY_CBA!$B$3:$N$23,13,0)&lt;='TCO TO BE- SW'!$D105,SUM('TCO TO BE- SW'!T$37:T$46)*VLOOKUP('TCO TO BE- SW'!T$2,MODULY_CBA!$B$3:$L$23,10,0),0),0)</f>
        <v>0</v>
      </c>
      <c r="U105" s="589">
        <f>IFERROR(IF(VLOOKUP(U$2,MODULY_CBA!$B$3:$N$23,13,0)&lt;='TCO TO BE- SW'!$D105,SUM('TCO TO BE- SW'!U$37:U$46)*VLOOKUP('TCO TO BE- SW'!U$2,MODULY_CBA!$B$3:$L$23,10,0),0),0)</f>
        <v>0</v>
      </c>
      <c r="V105" s="589">
        <f>IFERROR(IF(VLOOKUP(V$2,MODULY_CBA!$B$3:$N$23,13,0)&lt;='TCO TO BE- SW'!$D105,SUM('TCO TO BE- SW'!V$37:V$46)*VLOOKUP('TCO TO BE- SW'!V$2,MODULY_CBA!$B$3:$L$23,10,0),0),0)</f>
        <v>0</v>
      </c>
      <c r="W105" s="589">
        <f>IFERROR(IF(VLOOKUP(W$2,MODULY_CBA!$B$3:$N$23,13,0)&lt;='TCO TO BE- SW'!$D105,SUM('TCO TO BE- SW'!W$37:W$46)*VLOOKUP('TCO TO BE- SW'!W$2,MODULY_CBA!$B$3:$L$23,10,0),0),0)</f>
        <v>0</v>
      </c>
      <c r="X105" s="589">
        <f>IFERROR(IF(VLOOKUP(X$2,MODULY_CBA!$B$3:$N$23,13,0)&lt;='TCO TO BE- SW'!$D105,SUM('TCO TO BE- SW'!X$37:X$46)*VLOOKUP('TCO TO BE- SW'!X$2,MODULY_CBA!$B$3:$L$23,10,0),0),0)</f>
        <v>0</v>
      </c>
      <c r="Y105" s="589">
        <f>IFERROR(IF(VLOOKUP(Y$2,MODULY_CBA!$B$3:$N$23,13,0)&lt;='TCO TO BE- SW'!$D105,SUM('TCO TO BE- SW'!Y$37:Y$46)*VLOOKUP('TCO TO BE- SW'!Y$2,MODULY_CBA!$B$3:$L$23,10,0),0),0)</f>
        <v>0</v>
      </c>
      <c r="Z105" s="589">
        <f>IFERROR(IF(VLOOKUP(Z$2,MODULY_CBA!$B$3:$N$23,13,0)&lt;='TCO TO BE- SW'!$D105,SUM('TCO TO BE- SW'!Z$37:Z$46)*VLOOKUP('TCO TO BE- SW'!Z$2,MODULY_CBA!$B$3:$L$23,10,0),0),0)</f>
        <v>0</v>
      </c>
    </row>
    <row r="106" spans="1:26" outlineLevel="2">
      <c r="A106" s="824"/>
      <c r="B106" s="825"/>
      <c r="C106" s="825"/>
      <c r="D106" s="64">
        <v>7</v>
      </c>
      <c r="E106" s="68">
        <f t="shared" si="14"/>
        <v>0</v>
      </c>
      <c r="F106" s="589">
        <f>IFERROR(IF(VLOOKUP(F$2,MODULY_CBA!$B$3:$N$23,13,0)&lt;='TCO TO BE- SW'!$D106,SUM('TCO TO BE- SW'!F$37:F$46)*VLOOKUP('TCO TO BE- SW'!F$2,MODULY_CBA!$B$3:$L$23,10,0),0),0)</f>
        <v>0</v>
      </c>
      <c r="G106" s="589">
        <f>IFERROR(IF(VLOOKUP(G$2,MODULY_CBA!$B$3:$N$23,13,0)&lt;='TCO TO BE- SW'!$D106,SUM('TCO TO BE- SW'!G$37:G$46)*VLOOKUP('TCO TO BE- SW'!G$2,MODULY_CBA!$B$3:$L$23,10,0),0),0)</f>
        <v>0</v>
      </c>
      <c r="H106" s="589">
        <f>IFERROR(IF(VLOOKUP(H$2,MODULY_CBA!$B$3:$N$23,13,0)&lt;='TCO TO BE- SW'!$D106,SUM('TCO TO BE- SW'!H$37:H$46)*VLOOKUP('TCO TO BE- SW'!H$2,MODULY_CBA!$B$3:$L$23,10,0),0),0)</f>
        <v>0</v>
      </c>
      <c r="I106" s="589">
        <f>IFERROR(IF(VLOOKUP(I$2,MODULY_CBA!$B$3:$N$23,13,0)&lt;='TCO TO BE- SW'!$D106,SUM('TCO TO BE- SW'!I$37:I$46)*VLOOKUP('TCO TO BE- SW'!I$2,MODULY_CBA!$B$3:$L$23,10,0),0),0)</f>
        <v>0</v>
      </c>
      <c r="J106" s="589">
        <f>IFERROR(IF(VLOOKUP(J$2,MODULY_CBA!$B$3:$N$23,13,0)&lt;='TCO TO BE- SW'!$D106,SUM('TCO TO BE- SW'!J$37:J$46)*VLOOKUP('TCO TO BE- SW'!J$2,MODULY_CBA!$B$3:$L$23,10,0),0),0)</f>
        <v>0</v>
      </c>
      <c r="K106" s="589">
        <f>IFERROR(IF(VLOOKUP(K$2,MODULY_CBA!$B$3:$N$23,13,0)&lt;='TCO TO BE- SW'!$D106,SUM('TCO TO BE- SW'!K$37:K$46)*VLOOKUP('TCO TO BE- SW'!K$2,MODULY_CBA!$B$3:$L$23,10,0),0),0)</f>
        <v>0</v>
      </c>
      <c r="L106" s="589">
        <f>IFERROR(IF(VLOOKUP(L$2,MODULY_CBA!$B$3:$N$23,13,0)&lt;='TCO TO BE- SW'!$D106,SUM('TCO TO BE- SW'!L$37:L$46)*VLOOKUP('TCO TO BE- SW'!L$2,MODULY_CBA!$B$3:$L$23,10,0),0),0)</f>
        <v>0</v>
      </c>
      <c r="M106" s="589">
        <f>IFERROR(IF(VLOOKUP(M$2,MODULY_CBA!$B$3:$N$23,13,0)&lt;='TCO TO BE- SW'!$D106,SUM('TCO TO BE- SW'!M$37:M$46)*VLOOKUP('TCO TO BE- SW'!M$2,MODULY_CBA!$B$3:$L$23,10,0),0),0)</f>
        <v>0</v>
      </c>
      <c r="N106" s="589">
        <f>IFERROR(IF(VLOOKUP(N$2,MODULY_CBA!$B$3:$N$23,13,0)&lt;='TCO TO BE- SW'!$D106,SUM('TCO TO BE- SW'!N$37:N$46)*VLOOKUP('TCO TO BE- SW'!N$2,MODULY_CBA!$B$3:$L$23,10,0),0),0)</f>
        <v>0</v>
      </c>
      <c r="O106" s="589">
        <f>IFERROR(IF(VLOOKUP(O$2,MODULY_CBA!$B$3:$N$23,13,0)&lt;='TCO TO BE- SW'!$D106,SUM('TCO TO BE- SW'!O$37:O$46)*VLOOKUP('TCO TO BE- SW'!O$2,MODULY_CBA!$B$3:$L$23,10,0),0),0)</f>
        <v>0</v>
      </c>
      <c r="P106" s="589">
        <f>IFERROR(IF(VLOOKUP(P$2,MODULY_CBA!$B$3:$N$23,13,0)&lt;='TCO TO BE- SW'!$D106,SUM('TCO TO BE- SW'!P$37:P$46)*VLOOKUP('TCO TO BE- SW'!P$2,MODULY_CBA!$B$3:$L$23,10,0),0),0)</f>
        <v>0</v>
      </c>
      <c r="Q106" s="589">
        <f>IFERROR(IF(VLOOKUP(Q$2,MODULY_CBA!$B$3:$N$23,13,0)&lt;='TCO TO BE- SW'!$D106,SUM('TCO TO BE- SW'!Q$37:Q$46)*VLOOKUP('TCO TO BE- SW'!Q$2,MODULY_CBA!$B$3:$L$23,10,0),0),0)</f>
        <v>0</v>
      </c>
      <c r="R106" s="589">
        <f>IFERROR(IF(VLOOKUP(R$2,MODULY_CBA!$B$3:$N$23,13,0)&lt;='TCO TO BE- SW'!$D106,SUM('TCO TO BE- SW'!R$37:R$46)*VLOOKUP('TCO TO BE- SW'!R$2,MODULY_CBA!$B$3:$L$23,10,0),0),0)</f>
        <v>0</v>
      </c>
      <c r="S106" s="589">
        <f>IFERROR(IF(VLOOKUP(S$2,MODULY_CBA!$B$3:$N$23,13,0)&lt;='TCO TO BE- SW'!$D106,SUM('TCO TO BE- SW'!S$37:S$46)*VLOOKUP('TCO TO BE- SW'!S$2,MODULY_CBA!$B$3:$L$23,10,0),0),0)</f>
        <v>0</v>
      </c>
      <c r="T106" s="589">
        <f>IFERROR(IF(VLOOKUP(T$2,MODULY_CBA!$B$3:$N$23,13,0)&lt;='TCO TO BE- SW'!$D106,SUM('TCO TO BE- SW'!T$37:T$46)*VLOOKUP('TCO TO BE- SW'!T$2,MODULY_CBA!$B$3:$L$23,10,0),0),0)</f>
        <v>0</v>
      </c>
      <c r="U106" s="589">
        <f>IFERROR(IF(VLOOKUP(U$2,MODULY_CBA!$B$3:$N$23,13,0)&lt;='TCO TO BE- SW'!$D106,SUM('TCO TO BE- SW'!U$37:U$46)*VLOOKUP('TCO TO BE- SW'!U$2,MODULY_CBA!$B$3:$L$23,10,0),0),0)</f>
        <v>0</v>
      </c>
      <c r="V106" s="589">
        <f>IFERROR(IF(VLOOKUP(V$2,MODULY_CBA!$B$3:$N$23,13,0)&lt;='TCO TO BE- SW'!$D106,SUM('TCO TO BE- SW'!V$37:V$46)*VLOOKUP('TCO TO BE- SW'!V$2,MODULY_CBA!$B$3:$L$23,10,0),0),0)</f>
        <v>0</v>
      </c>
      <c r="W106" s="589">
        <f>IFERROR(IF(VLOOKUP(W$2,MODULY_CBA!$B$3:$N$23,13,0)&lt;='TCO TO BE- SW'!$D106,SUM('TCO TO BE- SW'!W$37:W$46)*VLOOKUP('TCO TO BE- SW'!W$2,MODULY_CBA!$B$3:$L$23,10,0),0),0)</f>
        <v>0</v>
      </c>
      <c r="X106" s="589">
        <f>IFERROR(IF(VLOOKUP(X$2,MODULY_CBA!$B$3:$N$23,13,0)&lt;='TCO TO BE- SW'!$D106,SUM('TCO TO BE- SW'!X$37:X$46)*VLOOKUP('TCO TO BE- SW'!X$2,MODULY_CBA!$B$3:$L$23,10,0),0),0)</f>
        <v>0</v>
      </c>
      <c r="Y106" s="589">
        <f>IFERROR(IF(VLOOKUP(Y$2,MODULY_CBA!$B$3:$N$23,13,0)&lt;='TCO TO BE- SW'!$D106,SUM('TCO TO BE- SW'!Y$37:Y$46)*VLOOKUP('TCO TO BE- SW'!Y$2,MODULY_CBA!$B$3:$L$23,10,0),0),0)</f>
        <v>0</v>
      </c>
      <c r="Z106" s="589">
        <f>IFERROR(IF(VLOOKUP(Z$2,MODULY_CBA!$B$3:$N$23,13,0)&lt;='TCO TO BE- SW'!$D106,SUM('TCO TO BE- SW'!Z$37:Z$46)*VLOOKUP('TCO TO BE- SW'!Z$2,MODULY_CBA!$B$3:$L$23,10,0),0),0)</f>
        <v>0</v>
      </c>
    </row>
    <row r="107" spans="1:26" outlineLevel="2">
      <c r="A107" s="824"/>
      <c r="B107" s="825"/>
      <c r="C107" s="825"/>
      <c r="D107" s="64">
        <v>8</v>
      </c>
      <c r="E107" s="68">
        <f t="shared" si="14"/>
        <v>0</v>
      </c>
      <c r="F107" s="589">
        <f>IFERROR(IF(VLOOKUP(F$2,MODULY_CBA!$B$3:$N$23,13,0)&lt;='TCO TO BE- SW'!$D107,SUM('TCO TO BE- SW'!F$37:F$46)*VLOOKUP('TCO TO BE- SW'!F$2,MODULY_CBA!$B$3:$L$23,10,0),0),0)</f>
        <v>0</v>
      </c>
      <c r="G107" s="589">
        <f>IFERROR(IF(VLOOKUP(G$2,MODULY_CBA!$B$3:$N$23,13,0)&lt;='TCO TO BE- SW'!$D107,SUM('TCO TO BE- SW'!G$37:G$46)*VLOOKUP('TCO TO BE- SW'!G$2,MODULY_CBA!$B$3:$L$23,10,0),0),0)</f>
        <v>0</v>
      </c>
      <c r="H107" s="589">
        <f>IFERROR(IF(VLOOKUP(H$2,MODULY_CBA!$B$3:$N$23,13,0)&lt;='TCO TO BE- SW'!$D107,SUM('TCO TO BE- SW'!H$37:H$46)*VLOOKUP('TCO TO BE- SW'!H$2,MODULY_CBA!$B$3:$L$23,10,0),0),0)</f>
        <v>0</v>
      </c>
      <c r="I107" s="589">
        <f>IFERROR(IF(VLOOKUP(I$2,MODULY_CBA!$B$3:$N$23,13,0)&lt;='TCO TO BE- SW'!$D107,SUM('TCO TO BE- SW'!I$37:I$46)*VLOOKUP('TCO TO BE- SW'!I$2,MODULY_CBA!$B$3:$L$23,10,0),0),0)</f>
        <v>0</v>
      </c>
      <c r="J107" s="589">
        <f>IFERROR(IF(VLOOKUP(J$2,MODULY_CBA!$B$3:$N$23,13,0)&lt;='TCO TO BE- SW'!$D107,SUM('TCO TO BE- SW'!J$37:J$46)*VLOOKUP('TCO TO BE- SW'!J$2,MODULY_CBA!$B$3:$L$23,10,0),0),0)</f>
        <v>0</v>
      </c>
      <c r="K107" s="589">
        <f>IFERROR(IF(VLOOKUP(K$2,MODULY_CBA!$B$3:$N$23,13,0)&lt;='TCO TO BE- SW'!$D107,SUM('TCO TO BE- SW'!K$37:K$46)*VLOOKUP('TCO TO BE- SW'!K$2,MODULY_CBA!$B$3:$L$23,10,0),0),0)</f>
        <v>0</v>
      </c>
      <c r="L107" s="589">
        <f>IFERROR(IF(VLOOKUP(L$2,MODULY_CBA!$B$3:$N$23,13,0)&lt;='TCO TO BE- SW'!$D107,SUM('TCO TO BE- SW'!L$37:L$46)*VLOOKUP('TCO TO BE- SW'!L$2,MODULY_CBA!$B$3:$L$23,10,0),0),0)</f>
        <v>0</v>
      </c>
      <c r="M107" s="589">
        <f>IFERROR(IF(VLOOKUP(M$2,MODULY_CBA!$B$3:$N$23,13,0)&lt;='TCO TO BE- SW'!$D107,SUM('TCO TO BE- SW'!M$37:M$46)*VLOOKUP('TCO TO BE- SW'!M$2,MODULY_CBA!$B$3:$L$23,10,0),0),0)</f>
        <v>0</v>
      </c>
      <c r="N107" s="589">
        <f>IFERROR(IF(VLOOKUP(N$2,MODULY_CBA!$B$3:$N$23,13,0)&lt;='TCO TO BE- SW'!$D107,SUM('TCO TO BE- SW'!N$37:N$46)*VLOOKUP('TCO TO BE- SW'!N$2,MODULY_CBA!$B$3:$L$23,10,0),0),0)</f>
        <v>0</v>
      </c>
      <c r="O107" s="589">
        <f>IFERROR(IF(VLOOKUP(O$2,MODULY_CBA!$B$3:$N$23,13,0)&lt;='TCO TO BE- SW'!$D107,SUM('TCO TO BE- SW'!O$37:O$46)*VLOOKUP('TCO TO BE- SW'!O$2,MODULY_CBA!$B$3:$L$23,10,0),0),0)</f>
        <v>0</v>
      </c>
      <c r="P107" s="589">
        <f>IFERROR(IF(VLOOKUP(P$2,MODULY_CBA!$B$3:$N$23,13,0)&lt;='TCO TO BE- SW'!$D107,SUM('TCO TO BE- SW'!P$37:P$46)*VLOOKUP('TCO TO BE- SW'!P$2,MODULY_CBA!$B$3:$L$23,10,0),0),0)</f>
        <v>0</v>
      </c>
      <c r="Q107" s="589">
        <f>IFERROR(IF(VLOOKUP(Q$2,MODULY_CBA!$B$3:$N$23,13,0)&lt;='TCO TO BE- SW'!$D107,SUM('TCO TO BE- SW'!Q$37:Q$46)*VLOOKUP('TCO TO BE- SW'!Q$2,MODULY_CBA!$B$3:$L$23,10,0),0),0)</f>
        <v>0</v>
      </c>
      <c r="R107" s="589">
        <f>IFERROR(IF(VLOOKUP(R$2,MODULY_CBA!$B$3:$N$23,13,0)&lt;='TCO TO BE- SW'!$D107,SUM('TCO TO BE- SW'!R$37:R$46)*VLOOKUP('TCO TO BE- SW'!R$2,MODULY_CBA!$B$3:$L$23,10,0),0),0)</f>
        <v>0</v>
      </c>
      <c r="S107" s="589">
        <f>IFERROR(IF(VLOOKUP(S$2,MODULY_CBA!$B$3:$N$23,13,0)&lt;='TCO TO BE- SW'!$D107,SUM('TCO TO BE- SW'!S$37:S$46)*VLOOKUP('TCO TO BE- SW'!S$2,MODULY_CBA!$B$3:$L$23,10,0),0),0)</f>
        <v>0</v>
      </c>
      <c r="T107" s="589">
        <f>IFERROR(IF(VLOOKUP(T$2,MODULY_CBA!$B$3:$N$23,13,0)&lt;='TCO TO BE- SW'!$D107,SUM('TCO TO BE- SW'!T$37:T$46)*VLOOKUP('TCO TO BE- SW'!T$2,MODULY_CBA!$B$3:$L$23,10,0),0),0)</f>
        <v>0</v>
      </c>
      <c r="U107" s="589">
        <f>IFERROR(IF(VLOOKUP(U$2,MODULY_CBA!$B$3:$N$23,13,0)&lt;='TCO TO BE- SW'!$D107,SUM('TCO TO BE- SW'!U$37:U$46)*VLOOKUP('TCO TO BE- SW'!U$2,MODULY_CBA!$B$3:$L$23,10,0),0),0)</f>
        <v>0</v>
      </c>
      <c r="V107" s="589">
        <f>IFERROR(IF(VLOOKUP(V$2,MODULY_CBA!$B$3:$N$23,13,0)&lt;='TCO TO BE- SW'!$D107,SUM('TCO TO BE- SW'!V$37:V$46)*VLOOKUP('TCO TO BE- SW'!V$2,MODULY_CBA!$B$3:$L$23,10,0),0),0)</f>
        <v>0</v>
      </c>
      <c r="W107" s="589">
        <f>IFERROR(IF(VLOOKUP(W$2,MODULY_CBA!$B$3:$N$23,13,0)&lt;='TCO TO BE- SW'!$D107,SUM('TCO TO BE- SW'!W$37:W$46)*VLOOKUP('TCO TO BE- SW'!W$2,MODULY_CBA!$B$3:$L$23,10,0),0),0)</f>
        <v>0</v>
      </c>
      <c r="X107" s="589">
        <f>IFERROR(IF(VLOOKUP(X$2,MODULY_CBA!$B$3:$N$23,13,0)&lt;='TCO TO BE- SW'!$D107,SUM('TCO TO BE- SW'!X$37:X$46)*VLOOKUP('TCO TO BE- SW'!X$2,MODULY_CBA!$B$3:$L$23,10,0),0),0)</f>
        <v>0</v>
      </c>
      <c r="Y107" s="589">
        <f>IFERROR(IF(VLOOKUP(Y$2,MODULY_CBA!$B$3:$N$23,13,0)&lt;='TCO TO BE- SW'!$D107,SUM('TCO TO BE- SW'!Y$37:Y$46)*VLOOKUP('TCO TO BE- SW'!Y$2,MODULY_CBA!$B$3:$L$23,10,0),0),0)</f>
        <v>0</v>
      </c>
      <c r="Z107" s="589">
        <f>IFERROR(IF(VLOOKUP(Z$2,MODULY_CBA!$B$3:$N$23,13,0)&lt;='TCO TO BE- SW'!$D107,SUM('TCO TO BE- SW'!Z$37:Z$46)*VLOOKUP('TCO TO BE- SW'!Z$2,MODULY_CBA!$B$3:$L$23,10,0),0),0)</f>
        <v>0</v>
      </c>
    </row>
    <row r="108" spans="1:26" outlineLevel="2">
      <c r="A108" s="824"/>
      <c r="B108" s="825"/>
      <c r="C108" s="825"/>
      <c r="D108" s="64">
        <v>9</v>
      </c>
      <c r="E108" s="68">
        <f t="shared" si="14"/>
        <v>0</v>
      </c>
      <c r="F108" s="589">
        <f>IFERROR(IF(VLOOKUP(F$2,MODULY_CBA!$B$3:$N$23,13,0)&lt;='TCO TO BE- SW'!$D108,SUM('TCO TO BE- SW'!F$37:F$46)*VLOOKUP('TCO TO BE- SW'!F$2,MODULY_CBA!$B$3:$L$23,10,0),0),0)</f>
        <v>0</v>
      </c>
      <c r="G108" s="589">
        <f>IFERROR(IF(VLOOKUP(G$2,MODULY_CBA!$B$3:$N$23,13,0)&lt;='TCO TO BE- SW'!$D108,SUM('TCO TO BE- SW'!G$37:G$46)*VLOOKUP('TCO TO BE- SW'!G$2,MODULY_CBA!$B$3:$L$23,10,0),0),0)</f>
        <v>0</v>
      </c>
      <c r="H108" s="589">
        <f>IFERROR(IF(VLOOKUP(H$2,MODULY_CBA!$B$3:$N$23,13,0)&lt;='TCO TO BE- SW'!$D108,SUM('TCO TO BE- SW'!H$37:H$46)*VLOOKUP('TCO TO BE- SW'!H$2,MODULY_CBA!$B$3:$L$23,10,0),0),0)</f>
        <v>0</v>
      </c>
      <c r="I108" s="589">
        <f>IFERROR(IF(VLOOKUP(I$2,MODULY_CBA!$B$3:$N$23,13,0)&lt;='TCO TO BE- SW'!$D108,SUM('TCO TO BE- SW'!I$37:I$46)*VLOOKUP('TCO TO BE- SW'!I$2,MODULY_CBA!$B$3:$L$23,10,0),0),0)</f>
        <v>0</v>
      </c>
      <c r="J108" s="589">
        <f>IFERROR(IF(VLOOKUP(J$2,MODULY_CBA!$B$3:$N$23,13,0)&lt;='TCO TO BE- SW'!$D108,SUM('TCO TO BE- SW'!J$37:J$46)*VLOOKUP('TCO TO BE- SW'!J$2,MODULY_CBA!$B$3:$L$23,10,0),0),0)</f>
        <v>0</v>
      </c>
      <c r="K108" s="589">
        <f>IFERROR(IF(VLOOKUP(K$2,MODULY_CBA!$B$3:$N$23,13,0)&lt;='TCO TO BE- SW'!$D108,SUM('TCO TO BE- SW'!K$37:K$46)*VLOOKUP('TCO TO BE- SW'!K$2,MODULY_CBA!$B$3:$L$23,10,0),0),0)</f>
        <v>0</v>
      </c>
      <c r="L108" s="589">
        <f>IFERROR(IF(VLOOKUP(L$2,MODULY_CBA!$B$3:$N$23,13,0)&lt;='TCO TO BE- SW'!$D108,SUM('TCO TO BE- SW'!L$37:L$46)*VLOOKUP('TCO TO BE- SW'!L$2,MODULY_CBA!$B$3:$L$23,10,0),0),0)</f>
        <v>0</v>
      </c>
      <c r="M108" s="589">
        <f>IFERROR(IF(VLOOKUP(M$2,MODULY_CBA!$B$3:$N$23,13,0)&lt;='TCO TO BE- SW'!$D108,SUM('TCO TO BE- SW'!M$37:M$46)*VLOOKUP('TCO TO BE- SW'!M$2,MODULY_CBA!$B$3:$L$23,10,0),0),0)</f>
        <v>0</v>
      </c>
      <c r="N108" s="589">
        <f>IFERROR(IF(VLOOKUP(N$2,MODULY_CBA!$B$3:$N$23,13,0)&lt;='TCO TO BE- SW'!$D108,SUM('TCO TO BE- SW'!N$37:N$46)*VLOOKUP('TCO TO BE- SW'!N$2,MODULY_CBA!$B$3:$L$23,10,0),0),0)</f>
        <v>0</v>
      </c>
      <c r="O108" s="589">
        <f>IFERROR(IF(VLOOKUP(O$2,MODULY_CBA!$B$3:$N$23,13,0)&lt;='TCO TO BE- SW'!$D108,SUM('TCO TO BE- SW'!O$37:O$46)*VLOOKUP('TCO TO BE- SW'!O$2,MODULY_CBA!$B$3:$L$23,10,0),0),0)</f>
        <v>0</v>
      </c>
      <c r="P108" s="589">
        <f>IFERROR(IF(VLOOKUP(P$2,MODULY_CBA!$B$3:$N$23,13,0)&lt;='TCO TO BE- SW'!$D108,SUM('TCO TO BE- SW'!P$37:P$46)*VLOOKUP('TCO TO BE- SW'!P$2,MODULY_CBA!$B$3:$L$23,10,0),0),0)</f>
        <v>0</v>
      </c>
      <c r="Q108" s="589">
        <f>IFERROR(IF(VLOOKUP(Q$2,MODULY_CBA!$B$3:$N$23,13,0)&lt;='TCO TO BE- SW'!$D108,SUM('TCO TO BE- SW'!Q$37:Q$46)*VLOOKUP('TCO TO BE- SW'!Q$2,MODULY_CBA!$B$3:$L$23,10,0),0),0)</f>
        <v>0</v>
      </c>
      <c r="R108" s="589">
        <f>IFERROR(IF(VLOOKUP(R$2,MODULY_CBA!$B$3:$N$23,13,0)&lt;='TCO TO BE- SW'!$D108,SUM('TCO TO BE- SW'!R$37:R$46)*VLOOKUP('TCO TO BE- SW'!R$2,MODULY_CBA!$B$3:$L$23,10,0),0),0)</f>
        <v>0</v>
      </c>
      <c r="S108" s="589">
        <f>IFERROR(IF(VLOOKUP(S$2,MODULY_CBA!$B$3:$N$23,13,0)&lt;='TCO TO BE- SW'!$D108,SUM('TCO TO BE- SW'!S$37:S$46)*VLOOKUP('TCO TO BE- SW'!S$2,MODULY_CBA!$B$3:$L$23,10,0),0),0)</f>
        <v>0</v>
      </c>
      <c r="T108" s="589">
        <f>IFERROR(IF(VLOOKUP(T$2,MODULY_CBA!$B$3:$N$23,13,0)&lt;='TCO TO BE- SW'!$D108,SUM('TCO TO BE- SW'!T$37:T$46)*VLOOKUP('TCO TO BE- SW'!T$2,MODULY_CBA!$B$3:$L$23,10,0),0),0)</f>
        <v>0</v>
      </c>
      <c r="U108" s="589">
        <f>IFERROR(IF(VLOOKUP(U$2,MODULY_CBA!$B$3:$N$23,13,0)&lt;='TCO TO BE- SW'!$D108,SUM('TCO TO BE- SW'!U$37:U$46)*VLOOKUP('TCO TO BE- SW'!U$2,MODULY_CBA!$B$3:$L$23,10,0),0),0)</f>
        <v>0</v>
      </c>
      <c r="V108" s="589">
        <f>IFERROR(IF(VLOOKUP(V$2,MODULY_CBA!$B$3:$N$23,13,0)&lt;='TCO TO BE- SW'!$D108,SUM('TCO TO BE- SW'!V$37:V$46)*VLOOKUP('TCO TO BE- SW'!V$2,MODULY_CBA!$B$3:$L$23,10,0),0),0)</f>
        <v>0</v>
      </c>
      <c r="W108" s="589">
        <f>IFERROR(IF(VLOOKUP(W$2,MODULY_CBA!$B$3:$N$23,13,0)&lt;='TCO TO BE- SW'!$D108,SUM('TCO TO BE- SW'!W$37:W$46)*VLOOKUP('TCO TO BE- SW'!W$2,MODULY_CBA!$B$3:$L$23,10,0),0),0)</f>
        <v>0</v>
      </c>
      <c r="X108" s="589">
        <f>IFERROR(IF(VLOOKUP(X$2,MODULY_CBA!$B$3:$N$23,13,0)&lt;='TCO TO BE- SW'!$D108,SUM('TCO TO BE- SW'!X$37:X$46)*VLOOKUP('TCO TO BE- SW'!X$2,MODULY_CBA!$B$3:$L$23,10,0),0),0)</f>
        <v>0</v>
      </c>
      <c r="Y108" s="589">
        <f>IFERROR(IF(VLOOKUP(Y$2,MODULY_CBA!$B$3:$N$23,13,0)&lt;='TCO TO BE- SW'!$D108,SUM('TCO TO BE- SW'!Y$37:Y$46)*VLOOKUP('TCO TO BE- SW'!Y$2,MODULY_CBA!$B$3:$L$23,10,0),0),0)</f>
        <v>0</v>
      </c>
      <c r="Z108" s="589">
        <f>IFERROR(IF(VLOOKUP(Z$2,MODULY_CBA!$B$3:$N$23,13,0)&lt;='TCO TO BE- SW'!$D108,SUM('TCO TO BE- SW'!Z$37:Z$46)*VLOOKUP('TCO TO BE- SW'!Z$2,MODULY_CBA!$B$3:$L$23,10,0),0),0)</f>
        <v>0</v>
      </c>
    </row>
    <row r="109" spans="1:26" ht="15.75" outlineLevel="2" thickBot="1">
      <c r="A109" s="824"/>
      <c r="B109" s="825"/>
      <c r="C109" s="825"/>
      <c r="D109" s="65">
        <v>10</v>
      </c>
      <c r="E109" s="69">
        <f t="shared" si="14"/>
        <v>0</v>
      </c>
      <c r="F109" s="589">
        <f>IFERROR(IF(VLOOKUP(F$2,MODULY_CBA!$B$3:$N$23,13,0)&lt;='TCO TO BE- SW'!$D109,SUM('TCO TO BE- SW'!F$37:F$46)*VLOOKUP('TCO TO BE- SW'!F$2,MODULY_CBA!$B$3:$L$23,10,0),0),0)</f>
        <v>0</v>
      </c>
      <c r="G109" s="589">
        <f>IFERROR(IF(VLOOKUP(G$2,MODULY_CBA!$B$3:$N$23,13,0)&lt;='TCO TO BE- SW'!$D109,SUM('TCO TO BE- SW'!G$37:G$46)*VLOOKUP('TCO TO BE- SW'!G$2,MODULY_CBA!$B$3:$L$23,10,0),0),0)</f>
        <v>0</v>
      </c>
      <c r="H109" s="589">
        <f>IFERROR(IF(VLOOKUP(H$2,MODULY_CBA!$B$3:$N$23,13,0)&lt;='TCO TO BE- SW'!$D109,SUM('TCO TO BE- SW'!H$37:H$46)*VLOOKUP('TCO TO BE- SW'!H$2,MODULY_CBA!$B$3:$L$23,10,0),0),0)</f>
        <v>0</v>
      </c>
      <c r="I109" s="589">
        <f>IFERROR(IF(VLOOKUP(I$2,MODULY_CBA!$B$3:$N$23,13,0)&lt;='TCO TO BE- SW'!$D109,SUM('TCO TO BE- SW'!I$37:I$46)*VLOOKUP('TCO TO BE- SW'!I$2,MODULY_CBA!$B$3:$L$23,10,0),0),0)</f>
        <v>0</v>
      </c>
      <c r="J109" s="589">
        <f>IFERROR(IF(VLOOKUP(J$2,MODULY_CBA!$B$3:$N$23,13,0)&lt;='TCO TO BE- SW'!$D109,SUM('TCO TO BE- SW'!J$37:J$46)*VLOOKUP('TCO TO BE- SW'!J$2,MODULY_CBA!$B$3:$L$23,10,0),0),0)</f>
        <v>0</v>
      </c>
      <c r="K109" s="589">
        <f>IFERROR(IF(VLOOKUP(K$2,MODULY_CBA!$B$3:$N$23,13,0)&lt;='TCO TO BE- SW'!$D109,SUM('TCO TO BE- SW'!K$37:K$46)*VLOOKUP('TCO TO BE- SW'!K$2,MODULY_CBA!$B$3:$L$23,10,0),0),0)</f>
        <v>0</v>
      </c>
      <c r="L109" s="589">
        <f>IFERROR(IF(VLOOKUP(L$2,MODULY_CBA!$B$3:$N$23,13,0)&lt;='TCO TO BE- SW'!$D109,SUM('TCO TO BE- SW'!L$37:L$46)*VLOOKUP('TCO TO BE- SW'!L$2,MODULY_CBA!$B$3:$L$23,10,0),0),0)</f>
        <v>0</v>
      </c>
      <c r="M109" s="589">
        <f>IFERROR(IF(VLOOKUP(M$2,MODULY_CBA!$B$3:$N$23,13,0)&lt;='TCO TO BE- SW'!$D109,SUM('TCO TO BE- SW'!M$37:M$46)*VLOOKUP('TCO TO BE- SW'!M$2,MODULY_CBA!$B$3:$L$23,10,0),0),0)</f>
        <v>0</v>
      </c>
      <c r="N109" s="589">
        <f>IFERROR(IF(VLOOKUP(N$2,MODULY_CBA!$B$3:$N$23,13,0)&lt;='TCO TO BE- SW'!$D109,SUM('TCO TO BE- SW'!N$37:N$46)*VLOOKUP('TCO TO BE- SW'!N$2,MODULY_CBA!$B$3:$L$23,10,0),0),0)</f>
        <v>0</v>
      </c>
      <c r="O109" s="589">
        <f>IFERROR(IF(VLOOKUP(O$2,MODULY_CBA!$B$3:$N$23,13,0)&lt;='TCO TO BE- SW'!$D109,SUM('TCO TO BE- SW'!O$37:O$46)*VLOOKUP('TCO TO BE- SW'!O$2,MODULY_CBA!$B$3:$L$23,10,0),0),0)</f>
        <v>0</v>
      </c>
      <c r="P109" s="589">
        <f>IFERROR(IF(VLOOKUP(P$2,MODULY_CBA!$B$3:$N$23,13,0)&lt;='TCO TO BE- SW'!$D109,SUM('TCO TO BE- SW'!P$37:P$46)*VLOOKUP('TCO TO BE- SW'!P$2,MODULY_CBA!$B$3:$L$23,10,0),0),0)</f>
        <v>0</v>
      </c>
      <c r="Q109" s="589">
        <f>IFERROR(IF(VLOOKUP(Q$2,MODULY_CBA!$B$3:$N$23,13,0)&lt;='TCO TO BE- SW'!$D109,SUM('TCO TO BE- SW'!Q$37:Q$46)*VLOOKUP('TCO TO BE- SW'!Q$2,MODULY_CBA!$B$3:$L$23,10,0),0),0)</f>
        <v>0</v>
      </c>
      <c r="R109" s="589">
        <f>IFERROR(IF(VLOOKUP(R$2,MODULY_CBA!$B$3:$N$23,13,0)&lt;='TCO TO BE- SW'!$D109,SUM('TCO TO BE- SW'!R$37:R$46)*VLOOKUP('TCO TO BE- SW'!R$2,MODULY_CBA!$B$3:$L$23,10,0),0),0)</f>
        <v>0</v>
      </c>
      <c r="S109" s="589">
        <f>IFERROR(IF(VLOOKUP(S$2,MODULY_CBA!$B$3:$N$23,13,0)&lt;='TCO TO BE- SW'!$D109,SUM('TCO TO BE- SW'!S$37:S$46)*VLOOKUP('TCO TO BE- SW'!S$2,MODULY_CBA!$B$3:$L$23,10,0),0),0)</f>
        <v>0</v>
      </c>
      <c r="T109" s="589">
        <f>IFERROR(IF(VLOOKUP(T$2,MODULY_CBA!$B$3:$N$23,13,0)&lt;='TCO TO BE- SW'!$D109,SUM('TCO TO BE- SW'!T$37:T$46)*VLOOKUP('TCO TO BE- SW'!T$2,MODULY_CBA!$B$3:$L$23,10,0),0),0)</f>
        <v>0</v>
      </c>
      <c r="U109" s="589">
        <f>IFERROR(IF(VLOOKUP(U$2,MODULY_CBA!$B$3:$N$23,13,0)&lt;='TCO TO BE- SW'!$D109,SUM('TCO TO BE- SW'!U$37:U$46)*VLOOKUP('TCO TO BE- SW'!U$2,MODULY_CBA!$B$3:$L$23,10,0),0),0)</f>
        <v>0</v>
      </c>
      <c r="V109" s="589">
        <f>IFERROR(IF(VLOOKUP(V$2,MODULY_CBA!$B$3:$N$23,13,0)&lt;='TCO TO BE- SW'!$D109,SUM('TCO TO BE- SW'!V$37:V$46)*VLOOKUP('TCO TO BE- SW'!V$2,MODULY_CBA!$B$3:$L$23,10,0),0),0)</f>
        <v>0</v>
      </c>
      <c r="W109" s="589">
        <f>IFERROR(IF(VLOOKUP(W$2,MODULY_CBA!$B$3:$N$23,13,0)&lt;='TCO TO BE- SW'!$D109,SUM('TCO TO BE- SW'!W$37:W$46)*VLOOKUP('TCO TO BE- SW'!W$2,MODULY_CBA!$B$3:$L$23,10,0),0),0)</f>
        <v>0</v>
      </c>
      <c r="X109" s="589">
        <f>IFERROR(IF(VLOOKUP(X$2,MODULY_CBA!$B$3:$N$23,13,0)&lt;='TCO TO BE- SW'!$D109,SUM('TCO TO BE- SW'!X$37:X$46)*VLOOKUP('TCO TO BE- SW'!X$2,MODULY_CBA!$B$3:$L$23,10,0),0),0)</f>
        <v>0</v>
      </c>
      <c r="Y109" s="589">
        <f>IFERROR(IF(VLOOKUP(Y$2,MODULY_CBA!$B$3:$N$23,13,0)&lt;='TCO TO BE- SW'!$D109,SUM('TCO TO BE- SW'!Y$37:Y$46)*VLOOKUP('TCO TO BE- SW'!Y$2,MODULY_CBA!$B$3:$L$23,10,0),0),0)</f>
        <v>0</v>
      </c>
      <c r="Z109" s="589">
        <f>IFERROR(IF(VLOOKUP(Z$2,MODULY_CBA!$B$3:$N$23,13,0)&lt;='TCO TO BE- SW'!$D109,SUM('TCO TO BE- SW'!Z$37:Z$46)*VLOOKUP('TCO TO BE- SW'!Z$2,MODULY_CBA!$B$3:$L$23,10,0),0),0)</f>
        <v>0</v>
      </c>
    </row>
    <row r="110" spans="1:26" outlineLevel="2">
      <c r="A110" s="824" t="s">
        <v>82</v>
      </c>
      <c r="B110" s="825" t="s">
        <v>79</v>
      </c>
      <c r="C110" s="825">
        <v>635009</v>
      </c>
      <c r="D110" s="63">
        <v>1</v>
      </c>
      <c r="E110" s="68">
        <f t="shared" si="14"/>
        <v>93900</v>
      </c>
      <c r="F110" s="579">
        <v>93900</v>
      </c>
      <c r="G110" s="579">
        <v>0</v>
      </c>
      <c r="H110" s="579">
        <v>0</v>
      </c>
      <c r="I110" s="579">
        <v>0</v>
      </c>
      <c r="J110" s="579">
        <v>0</v>
      </c>
      <c r="K110" s="579">
        <v>0</v>
      </c>
      <c r="L110" s="579">
        <v>0</v>
      </c>
      <c r="M110" s="579">
        <v>0</v>
      </c>
      <c r="N110" s="579">
        <v>0</v>
      </c>
      <c r="O110" s="579">
        <v>0</v>
      </c>
      <c r="P110" s="579">
        <v>0</v>
      </c>
      <c r="Q110" s="579">
        <v>0</v>
      </c>
      <c r="R110" s="579">
        <v>0</v>
      </c>
      <c r="S110" s="579">
        <v>0</v>
      </c>
      <c r="T110" s="579">
        <v>0</v>
      </c>
      <c r="U110" s="579">
        <v>0</v>
      </c>
      <c r="V110" s="579">
        <v>0</v>
      </c>
      <c r="W110" s="579">
        <v>0</v>
      </c>
      <c r="X110" s="579">
        <v>0</v>
      </c>
      <c r="Y110" s="579">
        <v>0</v>
      </c>
      <c r="Z110" s="579">
        <v>0</v>
      </c>
    </row>
    <row r="111" spans="1:26" outlineLevel="2">
      <c r="A111" s="824"/>
      <c r="B111" s="825"/>
      <c r="C111" s="825"/>
      <c r="D111" s="64">
        <v>2</v>
      </c>
      <c r="E111" s="68">
        <f t="shared" si="14"/>
        <v>199500</v>
      </c>
      <c r="F111" s="580">
        <v>199500</v>
      </c>
      <c r="G111" s="580">
        <v>0</v>
      </c>
      <c r="H111" s="580">
        <v>0</v>
      </c>
      <c r="I111" s="580">
        <v>0</v>
      </c>
      <c r="J111" s="580">
        <v>0</v>
      </c>
      <c r="K111" s="580">
        <v>0</v>
      </c>
      <c r="L111" s="580">
        <v>0</v>
      </c>
      <c r="M111" s="580">
        <v>0</v>
      </c>
      <c r="N111" s="580">
        <v>0</v>
      </c>
      <c r="O111" s="580">
        <v>0</v>
      </c>
      <c r="P111" s="580">
        <v>0</v>
      </c>
      <c r="Q111" s="580">
        <v>0</v>
      </c>
      <c r="R111" s="580">
        <v>0</v>
      </c>
      <c r="S111" s="580">
        <v>0</v>
      </c>
      <c r="T111" s="580">
        <v>0</v>
      </c>
      <c r="U111" s="580">
        <v>0</v>
      </c>
      <c r="V111" s="580">
        <v>0</v>
      </c>
      <c r="W111" s="580">
        <v>0</v>
      </c>
      <c r="X111" s="580">
        <v>0</v>
      </c>
      <c r="Y111" s="580">
        <v>0</v>
      </c>
      <c r="Z111" s="580">
        <v>0</v>
      </c>
    </row>
    <row r="112" spans="1:26" outlineLevel="2">
      <c r="A112" s="824"/>
      <c r="B112" s="825"/>
      <c r="C112" s="825"/>
      <c r="D112" s="64">
        <v>3</v>
      </c>
      <c r="E112" s="68">
        <f t="shared" si="14"/>
        <v>199500</v>
      </c>
      <c r="F112" s="580">
        <v>199500</v>
      </c>
      <c r="G112" s="580">
        <v>0</v>
      </c>
      <c r="H112" s="580">
        <v>0</v>
      </c>
      <c r="I112" s="580">
        <v>0</v>
      </c>
      <c r="J112" s="580">
        <v>0</v>
      </c>
      <c r="K112" s="580">
        <v>0</v>
      </c>
      <c r="L112" s="580">
        <v>0</v>
      </c>
      <c r="M112" s="580">
        <v>0</v>
      </c>
      <c r="N112" s="580">
        <v>0</v>
      </c>
      <c r="O112" s="580">
        <v>0</v>
      </c>
      <c r="P112" s="580">
        <v>0</v>
      </c>
      <c r="Q112" s="580">
        <v>0</v>
      </c>
      <c r="R112" s="580">
        <v>0</v>
      </c>
      <c r="S112" s="580">
        <v>0</v>
      </c>
      <c r="T112" s="580">
        <v>0</v>
      </c>
      <c r="U112" s="580">
        <v>0</v>
      </c>
      <c r="V112" s="580">
        <v>0</v>
      </c>
      <c r="W112" s="580">
        <v>0</v>
      </c>
      <c r="X112" s="580">
        <v>0</v>
      </c>
      <c r="Y112" s="580">
        <v>0</v>
      </c>
      <c r="Z112" s="580">
        <v>0</v>
      </c>
    </row>
    <row r="113" spans="1:26" outlineLevel="2">
      <c r="A113" s="824"/>
      <c r="B113" s="825"/>
      <c r="C113" s="825"/>
      <c r="D113" s="64">
        <v>4</v>
      </c>
      <c r="E113" s="68">
        <f t="shared" si="14"/>
        <v>199500</v>
      </c>
      <c r="F113" s="580">
        <v>199500</v>
      </c>
      <c r="G113" s="580">
        <v>0</v>
      </c>
      <c r="H113" s="580">
        <v>0</v>
      </c>
      <c r="I113" s="580">
        <v>0</v>
      </c>
      <c r="J113" s="580">
        <v>0</v>
      </c>
      <c r="K113" s="580">
        <v>0</v>
      </c>
      <c r="L113" s="580">
        <v>0</v>
      </c>
      <c r="M113" s="580">
        <v>0</v>
      </c>
      <c r="N113" s="580">
        <v>0</v>
      </c>
      <c r="O113" s="580">
        <v>0</v>
      </c>
      <c r="P113" s="580">
        <v>0</v>
      </c>
      <c r="Q113" s="580">
        <v>0</v>
      </c>
      <c r="R113" s="580">
        <v>0</v>
      </c>
      <c r="S113" s="580">
        <v>0</v>
      </c>
      <c r="T113" s="580">
        <v>0</v>
      </c>
      <c r="U113" s="580">
        <v>0</v>
      </c>
      <c r="V113" s="580">
        <v>0</v>
      </c>
      <c r="W113" s="580">
        <v>0</v>
      </c>
      <c r="X113" s="580">
        <v>0</v>
      </c>
      <c r="Y113" s="580">
        <v>0</v>
      </c>
      <c r="Z113" s="580">
        <v>0</v>
      </c>
    </row>
    <row r="114" spans="1:26" outlineLevel="2">
      <c r="A114" s="824"/>
      <c r="B114" s="825"/>
      <c r="C114" s="825"/>
      <c r="D114" s="64">
        <v>5</v>
      </c>
      <c r="E114" s="68">
        <f t="shared" si="14"/>
        <v>199500</v>
      </c>
      <c r="F114" s="580">
        <v>199500</v>
      </c>
      <c r="G114" s="580">
        <v>0</v>
      </c>
      <c r="H114" s="580">
        <v>0</v>
      </c>
      <c r="I114" s="580">
        <v>0</v>
      </c>
      <c r="J114" s="580">
        <v>0</v>
      </c>
      <c r="K114" s="580">
        <v>0</v>
      </c>
      <c r="L114" s="580">
        <v>0</v>
      </c>
      <c r="M114" s="580">
        <v>0</v>
      </c>
      <c r="N114" s="580">
        <v>0</v>
      </c>
      <c r="O114" s="580">
        <v>0</v>
      </c>
      <c r="P114" s="580">
        <v>0</v>
      </c>
      <c r="Q114" s="580">
        <v>0</v>
      </c>
      <c r="R114" s="580">
        <v>0</v>
      </c>
      <c r="S114" s="580">
        <v>0</v>
      </c>
      <c r="T114" s="580">
        <v>0</v>
      </c>
      <c r="U114" s="580">
        <v>0</v>
      </c>
      <c r="V114" s="580">
        <v>0</v>
      </c>
      <c r="W114" s="580">
        <v>0</v>
      </c>
      <c r="X114" s="580">
        <v>0</v>
      </c>
      <c r="Y114" s="580">
        <v>0</v>
      </c>
      <c r="Z114" s="580">
        <v>0</v>
      </c>
    </row>
    <row r="115" spans="1:26" outlineLevel="2">
      <c r="A115" s="824"/>
      <c r="B115" s="825"/>
      <c r="C115" s="825"/>
      <c r="D115" s="64">
        <v>6</v>
      </c>
      <c r="E115" s="68">
        <f t="shared" si="14"/>
        <v>199500</v>
      </c>
      <c r="F115" s="580">
        <v>199500</v>
      </c>
      <c r="G115" s="580">
        <v>0</v>
      </c>
      <c r="H115" s="580">
        <v>0</v>
      </c>
      <c r="I115" s="580">
        <v>0</v>
      </c>
      <c r="J115" s="580">
        <v>0</v>
      </c>
      <c r="K115" s="580">
        <v>0</v>
      </c>
      <c r="L115" s="580">
        <v>0</v>
      </c>
      <c r="M115" s="580">
        <v>0</v>
      </c>
      <c r="N115" s="580">
        <v>0</v>
      </c>
      <c r="O115" s="580">
        <v>0</v>
      </c>
      <c r="P115" s="580">
        <v>0</v>
      </c>
      <c r="Q115" s="580">
        <v>0</v>
      </c>
      <c r="R115" s="580">
        <v>0</v>
      </c>
      <c r="S115" s="580">
        <v>0</v>
      </c>
      <c r="T115" s="580">
        <v>0</v>
      </c>
      <c r="U115" s="580">
        <v>0</v>
      </c>
      <c r="V115" s="580">
        <v>0</v>
      </c>
      <c r="W115" s="580">
        <v>0</v>
      </c>
      <c r="X115" s="580">
        <v>0</v>
      </c>
      <c r="Y115" s="580">
        <v>0</v>
      </c>
      <c r="Z115" s="580">
        <v>0</v>
      </c>
    </row>
    <row r="116" spans="1:26" outlineLevel="2">
      <c r="A116" s="824"/>
      <c r="B116" s="825"/>
      <c r="C116" s="825"/>
      <c r="D116" s="64">
        <v>7</v>
      </c>
      <c r="E116" s="68">
        <f t="shared" si="14"/>
        <v>199500</v>
      </c>
      <c r="F116" s="580">
        <v>199500</v>
      </c>
      <c r="G116" s="580">
        <v>0</v>
      </c>
      <c r="H116" s="580">
        <v>0</v>
      </c>
      <c r="I116" s="580">
        <v>0</v>
      </c>
      <c r="J116" s="580">
        <v>0</v>
      </c>
      <c r="K116" s="580">
        <v>0</v>
      </c>
      <c r="L116" s="580">
        <v>0</v>
      </c>
      <c r="M116" s="580">
        <v>0</v>
      </c>
      <c r="N116" s="580">
        <v>0</v>
      </c>
      <c r="O116" s="580">
        <v>0</v>
      </c>
      <c r="P116" s="580">
        <v>0</v>
      </c>
      <c r="Q116" s="580">
        <v>0</v>
      </c>
      <c r="R116" s="580">
        <v>0</v>
      </c>
      <c r="S116" s="580">
        <v>0</v>
      </c>
      <c r="T116" s="580">
        <v>0</v>
      </c>
      <c r="U116" s="580">
        <v>0</v>
      </c>
      <c r="V116" s="580">
        <v>0</v>
      </c>
      <c r="W116" s="580">
        <v>0</v>
      </c>
      <c r="X116" s="580">
        <v>0</v>
      </c>
      <c r="Y116" s="580">
        <v>0</v>
      </c>
      <c r="Z116" s="580">
        <v>0</v>
      </c>
    </row>
    <row r="117" spans="1:26" outlineLevel="2">
      <c r="A117" s="824"/>
      <c r="B117" s="825"/>
      <c r="C117" s="825"/>
      <c r="D117" s="64">
        <v>8</v>
      </c>
      <c r="E117" s="68">
        <f t="shared" si="14"/>
        <v>199500</v>
      </c>
      <c r="F117" s="580">
        <v>199500</v>
      </c>
      <c r="G117" s="580">
        <v>0</v>
      </c>
      <c r="H117" s="580">
        <v>0</v>
      </c>
      <c r="I117" s="580">
        <v>0</v>
      </c>
      <c r="J117" s="580">
        <v>0</v>
      </c>
      <c r="K117" s="580">
        <v>0</v>
      </c>
      <c r="L117" s="580">
        <v>0</v>
      </c>
      <c r="M117" s="580">
        <v>0</v>
      </c>
      <c r="N117" s="580">
        <v>0</v>
      </c>
      <c r="O117" s="580">
        <v>0</v>
      </c>
      <c r="P117" s="580">
        <v>0</v>
      </c>
      <c r="Q117" s="580">
        <v>0</v>
      </c>
      <c r="R117" s="580">
        <v>0</v>
      </c>
      <c r="S117" s="580">
        <v>0</v>
      </c>
      <c r="T117" s="580">
        <v>0</v>
      </c>
      <c r="U117" s="580">
        <v>0</v>
      </c>
      <c r="V117" s="580">
        <v>0</v>
      </c>
      <c r="W117" s="580">
        <v>0</v>
      </c>
      <c r="X117" s="580">
        <v>0</v>
      </c>
      <c r="Y117" s="580">
        <v>0</v>
      </c>
      <c r="Z117" s="580">
        <v>0</v>
      </c>
    </row>
    <row r="118" spans="1:26" outlineLevel="2">
      <c r="A118" s="824"/>
      <c r="B118" s="825"/>
      <c r="C118" s="825"/>
      <c r="D118" s="64">
        <v>9</v>
      </c>
      <c r="E118" s="68">
        <f t="shared" si="14"/>
        <v>199500</v>
      </c>
      <c r="F118" s="580">
        <v>199500</v>
      </c>
      <c r="G118" s="580">
        <v>0</v>
      </c>
      <c r="H118" s="580">
        <v>0</v>
      </c>
      <c r="I118" s="580">
        <v>0</v>
      </c>
      <c r="J118" s="580">
        <v>0</v>
      </c>
      <c r="K118" s="580">
        <v>0</v>
      </c>
      <c r="L118" s="580">
        <v>0</v>
      </c>
      <c r="M118" s="580">
        <v>0</v>
      </c>
      <c r="N118" s="580">
        <v>0</v>
      </c>
      <c r="O118" s="580">
        <v>0</v>
      </c>
      <c r="P118" s="580">
        <v>0</v>
      </c>
      <c r="Q118" s="580">
        <v>0</v>
      </c>
      <c r="R118" s="580">
        <v>0</v>
      </c>
      <c r="S118" s="580">
        <v>0</v>
      </c>
      <c r="T118" s="580">
        <v>0</v>
      </c>
      <c r="U118" s="580">
        <v>0</v>
      </c>
      <c r="V118" s="580">
        <v>0</v>
      </c>
      <c r="W118" s="580">
        <v>0</v>
      </c>
      <c r="X118" s="580">
        <v>0</v>
      </c>
      <c r="Y118" s="580">
        <v>0</v>
      </c>
      <c r="Z118" s="580">
        <v>0</v>
      </c>
    </row>
    <row r="119" spans="1:26" ht="15.75" outlineLevel="2" thickBot="1">
      <c r="A119" s="824"/>
      <c r="B119" s="825"/>
      <c r="C119" s="825"/>
      <c r="D119" s="65">
        <v>10</v>
      </c>
      <c r="E119" s="69">
        <f t="shared" si="14"/>
        <v>199500</v>
      </c>
      <c r="F119" s="584">
        <v>199500</v>
      </c>
      <c r="G119" s="584">
        <v>0</v>
      </c>
      <c r="H119" s="584">
        <v>0</v>
      </c>
      <c r="I119" s="584">
        <v>0</v>
      </c>
      <c r="J119" s="584">
        <v>0</v>
      </c>
      <c r="K119" s="584">
        <v>0</v>
      </c>
      <c r="L119" s="584">
        <v>0</v>
      </c>
      <c r="M119" s="584">
        <v>0</v>
      </c>
      <c r="N119" s="584">
        <v>0</v>
      </c>
      <c r="O119" s="584">
        <v>0</v>
      </c>
      <c r="P119" s="584">
        <v>0</v>
      </c>
      <c r="Q119" s="584">
        <v>0</v>
      </c>
      <c r="R119" s="584">
        <v>0</v>
      </c>
      <c r="S119" s="584">
        <v>0</v>
      </c>
      <c r="T119" s="584">
        <v>0</v>
      </c>
      <c r="U119" s="584">
        <v>0</v>
      </c>
      <c r="V119" s="584">
        <v>0</v>
      </c>
      <c r="W119" s="584">
        <v>0</v>
      </c>
      <c r="X119" s="584">
        <v>0</v>
      </c>
      <c r="Y119" s="584">
        <v>0</v>
      </c>
      <c r="Z119" s="584">
        <v>0</v>
      </c>
    </row>
    <row r="120" spans="1:26" outlineLevel="2">
      <c r="A120" s="824" t="s">
        <v>83</v>
      </c>
      <c r="B120" s="825" t="s">
        <v>71</v>
      </c>
      <c r="C120" s="825">
        <v>718006</v>
      </c>
      <c r="D120" s="63">
        <v>1</v>
      </c>
      <c r="E120" s="68">
        <f t="shared" si="14"/>
        <v>0</v>
      </c>
      <c r="F120" s="589">
        <f>IFERROR(IF(VLOOKUP(F$2,MODULY_CBA!$B$3:$N$23,13,0)&lt;='TCO TO BE- SW'!$D120,SUM('TCO TO BE- SW'!F$37:F$46)*VLOOKUP('TCO TO BE- SW'!F$2,MODULY_CBA!$B$3:$L$23,11,0),0),0)</f>
        <v>0</v>
      </c>
      <c r="G120" s="589">
        <f>IFERROR(IF(VLOOKUP(G$2,MODULY_CBA!$B$3:$N$23,13,0)&lt;='TCO TO BE- SW'!$D120,SUM('TCO TO BE- SW'!G$37:G$46)*VLOOKUP('TCO TO BE- SW'!G$2,MODULY_CBA!$B$3:$L$23,11,0),0),0)</f>
        <v>0</v>
      </c>
      <c r="H120" s="589">
        <f>IFERROR(IF(VLOOKUP(H$2,MODULY_CBA!$B$3:$N$23,13,0)&lt;='TCO TO BE- SW'!$D120,SUM('TCO TO BE- SW'!H$37:H$46)*VLOOKUP('TCO TO BE- SW'!H$2,MODULY_CBA!$B$3:$L$23,11,0),0),0)</f>
        <v>0</v>
      </c>
      <c r="I120" s="589">
        <f>IFERROR(IF(VLOOKUP(I$2,MODULY_CBA!$B$3:$N$23,13,0)&lt;='TCO TO BE- SW'!$D120,SUM('TCO TO BE- SW'!I$37:I$46)*VLOOKUP('TCO TO BE- SW'!I$2,MODULY_CBA!$B$3:$L$23,11,0),0),0)</f>
        <v>0</v>
      </c>
      <c r="J120" s="589">
        <f>IFERROR(IF(VLOOKUP(J$2,MODULY_CBA!$B$3:$N$23,13,0)&lt;='TCO TO BE- SW'!$D120,SUM('TCO TO BE- SW'!J$37:J$46)*VLOOKUP('TCO TO BE- SW'!J$2,MODULY_CBA!$B$3:$L$23,11,0),0),0)</f>
        <v>0</v>
      </c>
      <c r="K120" s="589">
        <f>IFERROR(IF(VLOOKUP(K$2,MODULY_CBA!$B$3:$N$23,13,0)&lt;='TCO TO BE- SW'!$D120,SUM('TCO TO BE- SW'!K$37:K$46)*VLOOKUP('TCO TO BE- SW'!K$2,MODULY_CBA!$B$3:$L$23,11,0),0),0)</f>
        <v>0</v>
      </c>
      <c r="L120" s="589">
        <f>IFERROR(IF(VLOOKUP(L$2,MODULY_CBA!$B$3:$N$23,13,0)&lt;='TCO TO BE- SW'!$D120,SUM('TCO TO BE- SW'!L$37:L$46)*VLOOKUP('TCO TO BE- SW'!L$2,MODULY_CBA!$B$3:$L$23,11,0),0),0)</f>
        <v>0</v>
      </c>
      <c r="M120" s="589">
        <f>IFERROR(IF(VLOOKUP(M$2,MODULY_CBA!$B$3:$N$23,13,0)&lt;='TCO TO BE- SW'!$D120,SUM('TCO TO BE- SW'!M$37:M$46)*VLOOKUP('TCO TO BE- SW'!M$2,MODULY_CBA!$B$3:$L$23,11,0),0),0)</f>
        <v>0</v>
      </c>
      <c r="N120" s="589">
        <f>IFERROR(IF(VLOOKUP(N$2,MODULY_CBA!$B$3:$N$23,13,0)&lt;='TCO TO BE- SW'!$D120,SUM('TCO TO BE- SW'!N$37:N$46)*VLOOKUP('TCO TO BE- SW'!N$2,MODULY_CBA!$B$3:$L$23,11,0),0),0)</f>
        <v>0</v>
      </c>
      <c r="O120" s="589">
        <f>IFERROR(IF(VLOOKUP(O$2,MODULY_CBA!$B$3:$N$23,13,0)&lt;='TCO TO BE- SW'!$D120,SUM('TCO TO BE- SW'!O$37:O$46)*VLOOKUP('TCO TO BE- SW'!O$2,MODULY_CBA!$B$3:$L$23,11,0),0),0)</f>
        <v>0</v>
      </c>
      <c r="P120" s="589">
        <f>IFERROR(IF(VLOOKUP(P$2,MODULY_CBA!$B$3:$N$23,13,0)&lt;='TCO TO BE- SW'!$D120,SUM('TCO TO BE- SW'!P$37:P$46)*VLOOKUP('TCO TO BE- SW'!P$2,MODULY_CBA!$B$3:$L$23,11,0),0),0)</f>
        <v>0</v>
      </c>
      <c r="Q120" s="589">
        <f>IFERROR(IF(VLOOKUP(Q$2,MODULY_CBA!$B$3:$N$23,13,0)&lt;='TCO TO BE- SW'!$D120,SUM('TCO TO BE- SW'!Q$37:Q$46)*VLOOKUP('TCO TO BE- SW'!Q$2,MODULY_CBA!$B$3:$L$23,11,0),0),0)</f>
        <v>0</v>
      </c>
      <c r="R120" s="589">
        <f>IFERROR(IF(VLOOKUP(R$2,MODULY_CBA!$B$3:$N$23,13,0)&lt;='TCO TO BE- SW'!$D120,SUM('TCO TO BE- SW'!R$37:R$46)*VLOOKUP('TCO TO BE- SW'!R$2,MODULY_CBA!$B$3:$L$23,11,0),0),0)</f>
        <v>0</v>
      </c>
      <c r="S120" s="589">
        <f>IFERROR(IF(VLOOKUP(S$2,MODULY_CBA!$B$3:$N$23,13,0)&lt;='TCO TO BE- SW'!$D120,SUM('TCO TO BE- SW'!S$37:S$46)*VLOOKUP('TCO TO BE- SW'!S$2,MODULY_CBA!$B$3:$L$23,11,0),0),0)</f>
        <v>0</v>
      </c>
      <c r="T120" s="589">
        <f>IFERROR(IF(VLOOKUP(T$2,MODULY_CBA!$B$3:$N$23,13,0)&lt;='TCO TO BE- SW'!$D120,SUM('TCO TO BE- SW'!T$37:T$46)*VLOOKUP('TCO TO BE- SW'!T$2,MODULY_CBA!$B$3:$L$23,11,0),0),0)</f>
        <v>0</v>
      </c>
      <c r="U120" s="589">
        <f>IFERROR(IF(VLOOKUP(U$2,MODULY_CBA!$B$3:$N$23,13,0)&lt;='TCO TO BE- SW'!$D120,SUM('TCO TO BE- SW'!U$37:U$46)*VLOOKUP('TCO TO BE- SW'!U$2,MODULY_CBA!$B$3:$L$23,11,0),0),0)</f>
        <v>0</v>
      </c>
      <c r="V120" s="589">
        <f>IFERROR(IF(VLOOKUP(V$2,MODULY_CBA!$B$3:$N$23,13,0)&lt;='TCO TO BE- SW'!$D120,SUM('TCO TO BE- SW'!V$37:V$46)*VLOOKUP('TCO TO BE- SW'!V$2,MODULY_CBA!$B$3:$L$23,11,0),0),0)</f>
        <v>0</v>
      </c>
      <c r="W120" s="589">
        <f>IFERROR(IF(VLOOKUP(W$2,MODULY_CBA!$B$3:$N$23,13,0)&lt;='TCO TO BE- SW'!$D120,SUM('TCO TO BE- SW'!W$37:W$46)*VLOOKUP('TCO TO BE- SW'!W$2,MODULY_CBA!$B$3:$L$23,11,0),0),0)</f>
        <v>0</v>
      </c>
      <c r="X120" s="589">
        <f>IFERROR(IF(VLOOKUP(X$2,MODULY_CBA!$B$3:$N$23,13,0)&lt;='TCO TO BE- SW'!$D120,SUM('TCO TO BE- SW'!X$37:X$46)*VLOOKUP('TCO TO BE- SW'!X$2,MODULY_CBA!$B$3:$L$23,11,0),0),0)</f>
        <v>0</v>
      </c>
      <c r="Y120" s="589">
        <f>IFERROR(IF(VLOOKUP(Y$2,MODULY_CBA!$B$3:$N$23,13,0)&lt;='TCO TO BE- SW'!$D120,SUM('TCO TO BE- SW'!Y$37:Y$46)*VLOOKUP('TCO TO BE- SW'!Y$2,MODULY_CBA!$B$3:$L$23,11,0),0),0)</f>
        <v>0</v>
      </c>
      <c r="Z120" s="589">
        <f>IFERROR(IF(VLOOKUP(Z$2,MODULY_CBA!$B$3:$N$23,13,0)&lt;='TCO TO BE- SW'!$D120,SUM('TCO TO BE- SW'!Z$37:Z$46)*VLOOKUP('TCO TO BE- SW'!Z$2,MODULY_CBA!$B$3:$L$23,11,0),0),0)</f>
        <v>0</v>
      </c>
    </row>
    <row r="121" spans="1:26" outlineLevel="2">
      <c r="A121" s="824"/>
      <c r="B121" s="825"/>
      <c r="C121" s="825"/>
      <c r="D121" s="64">
        <v>2</v>
      </c>
      <c r="E121" s="68">
        <f t="shared" si="14"/>
        <v>0</v>
      </c>
      <c r="F121" s="589">
        <f>IFERROR(IF(VLOOKUP(F$2,MODULY_CBA!$B$3:$N$23,13,0)&lt;='TCO TO BE- SW'!$D121,SUM('TCO TO BE- SW'!F$37:F$46)*VLOOKUP('TCO TO BE- SW'!F$2,MODULY_CBA!$B$3:$L$23,11,0),0),0)</f>
        <v>0</v>
      </c>
      <c r="G121" s="589">
        <f>IFERROR(IF(VLOOKUP(G$2,MODULY_CBA!$B$3:$N$23,13,0)&lt;='TCO TO BE- SW'!$D121,SUM('TCO TO BE- SW'!G$37:G$46)*VLOOKUP('TCO TO BE- SW'!G$2,MODULY_CBA!$B$3:$L$23,11,0),0),0)</f>
        <v>0</v>
      </c>
      <c r="H121" s="589">
        <f>IFERROR(IF(VLOOKUP(H$2,MODULY_CBA!$B$3:$N$23,13,0)&lt;='TCO TO BE- SW'!$D121,SUM('TCO TO BE- SW'!H$37:H$46)*VLOOKUP('TCO TO BE- SW'!H$2,MODULY_CBA!$B$3:$L$23,11,0),0),0)</f>
        <v>0</v>
      </c>
      <c r="I121" s="589">
        <f>IFERROR(IF(VLOOKUP(I$2,MODULY_CBA!$B$3:$N$23,13,0)&lt;='TCO TO BE- SW'!$D121,SUM('TCO TO BE- SW'!I$37:I$46)*VLOOKUP('TCO TO BE- SW'!I$2,MODULY_CBA!$B$3:$L$23,11,0),0),0)</f>
        <v>0</v>
      </c>
      <c r="J121" s="589">
        <f>IFERROR(IF(VLOOKUP(J$2,MODULY_CBA!$B$3:$N$23,13,0)&lt;='TCO TO BE- SW'!$D121,SUM('TCO TO BE- SW'!J$37:J$46)*VLOOKUP('TCO TO BE- SW'!J$2,MODULY_CBA!$B$3:$L$23,11,0),0),0)</f>
        <v>0</v>
      </c>
      <c r="K121" s="589">
        <f>IFERROR(IF(VLOOKUP(K$2,MODULY_CBA!$B$3:$N$23,13,0)&lt;='TCO TO BE- SW'!$D121,SUM('TCO TO BE- SW'!K$37:K$46)*VLOOKUP('TCO TO BE- SW'!K$2,MODULY_CBA!$B$3:$L$23,11,0),0),0)</f>
        <v>0</v>
      </c>
      <c r="L121" s="589">
        <f>IFERROR(IF(VLOOKUP(L$2,MODULY_CBA!$B$3:$N$23,13,0)&lt;='TCO TO BE- SW'!$D121,SUM('TCO TO BE- SW'!L$37:L$46)*VLOOKUP('TCO TO BE- SW'!L$2,MODULY_CBA!$B$3:$L$23,11,0),0),0)</f>
        <v>0</v>
      </c>
      <c r="M121" s="589">
        <f>IFERROR(IF(VLOOKUP(M$2,MODULY_CBA!$B$3:$N$23,13,0)&lt;='TCO TO BE- SW'!$D121,SUM('TCO TO BE- SW'!M$37:M$46)*VLOOKUP('TCO TO BE- SW'!M$2,MODULY_CBA!$B$3:$L$23,11,0),0),0)</f>
        <v>0</v>
      </c>
      <c r="N121" s="589">
        <f>IFERROR(IF(VLOOKUP(N$2,MODULY_CBA!$B$3:$N$23,13,0)&lt;='TCO TO BE- SW'!$D121,SUM('TCO TO BE- SW'!N$37:N$46)*VLOOKUP('TCO TO BE- SW'!N$2,MODULY_CBA!$B$3:$L$23,11,0),0),0)</f>
        <v>0</v>
      </c>
      <c r="O121" s="589">
        <f>IFERROR(IF(VLOOKUP(O$2,MODULY_CBA!$B$3:$N$23,13,0)&lt;='TCO TO BE- SW'!$D121,SUM('TCO TO BE- SW'!O$37:O$46)*VLOOKUP('TCO TO BE- SW'!O$2,MODULY_CBA!$B$3:$L$23,11,0),0),0)</f>
        <v>0</v>
      </c>
      <c r="P121" s="589">
        <f>IFERROR(IF(VLOOKUP(P$2,MODULY_CBA!$B$3:$N$23,13,0)&lt;='TCO TO BE- SW'!$D121,SUM('TCO TO BE- SW'!P$37:P$46)*VLOOKUP('TCO TO BE- SW'!P$2,MODULY_CBA!$B$3:$L$23,11,0),0),0)</f>
        <v>0</v>
      </c>
      <c r="Q121" s="589">
        <f>IFERROR(IF(VLOOKUP(Q$2,MODULY_CBA!$B$3:$N$23,13,0)&lt;='TCO TO BE- SW'!$D121,SUM('TCO TO BE- SW'!Q$37:Q$46)*VLOOKUP('TCO TO BE- SW'!Q$2,MODULY_CBA!$B$3:$L$23,11,0),0),0)</f>
        <v>0</v>
      </c>
      <c r="R121" s="589">
        <f>IFERROR(IF(VLOOKUP(R$2,MODULY_CBA!$B$3:$N$23,13,0)&lt;='TCO TO BE- SW'!$D121,SUM('TCO TO BE- SW'!R$37:R$46)*VLOOKUP('TCO TO BE- SW'!R$2,MODULY_CBA!$B$3:$L$23,11,0),0),0)</f>
        <v>0</v>
      </c>
      <c r="S121" s="589">
        <f>IFERROR(IF(VLOOKUP(S$2,MODULY_CBA!$B$3:$N$23,13,0)&lt;='TCO TO BE- SW'!$D121,SUM('TCO TO BE- SW'!S$37:S$46)*VLOOKUP('TCO TO BE- SW'!S$2,MODULY_CBA!$B$3:$L$23,11,0),0),0)</f>
        <v>0</v>
      </c>
      <c r="T121" s="589">
        <f>IFERROR(IF(VLOOKUP(T$2,MODULY_CBA!$B$3:$N$23,13,0)&lt;='TCO TO BE- SW'!$D121,SUM('TCO TO BE- SW'!T$37:T$46)*VLOOKUP('TCO TO BE- SW'!T$2,MODULY_CBA!$B$3:$L$23,11,0),0),0)</f>
        <v>0</v>
      </c>
      <c r="U121" s="589">
        <f>IFERROR(IF(VLOOKUP(U$2,MODULY_CBA!$B$3:$N$23,13,0)&lt;='TCO TO BE- SW'!$D121,SUM('TCO TO BE- SW'!U$37:U$46)*VLOOKUP('TCO TO BE- SW'!U$2,MODULY_CBA!$B$3:$L$23,11,0),0),0)</f>
        <v>0</v>
      </c>
      <c r="V121" s="589">
        <f>IFERROR(IF(VLOOKUP(V$2,MODULY_CBA!$B$3:$N$23,13,0)&lt;='TCO TO BE- SW'!$D121,SUM('TCO TO BE- SW'!V$37:V$46)*VLOOKUP('TCO TO BE- SW'!V$2,MODULY_CBA!$B$3:$L$23,11,0),0),0)</f>
        <v>0</v>
      </c>
      <c r="W121" s="589">
        <f>IFERROR(IF(VLOOKUP(W$2,MODULY_CBA!$B$3:$N$23,13,0)&lt;='TCO TO BE- SW'!$D121,SUM('TCO TO BE- SW'!W$37:W$46)*VLOOKUP('TCO TO BE- SW'!W$2,MODULY_CBA!$B$3:$L$23,11,0),0),0)</f>
        <v>0</v>
      </c>
      <c r="X121" s="589">
        <f>IFERROR(IF(VLOOKUP(X$2,MODULY_CBA!$B$3:$N$23,13,0)&lt;='TCO TO BE- SW'!$D121,SUM('TCO TO BE- SW'!X$37:X$46)*VLOOKUP('TCO TO BE- SW'!X$2,MODULY_CBA!$B$3:$L$23,11,0),0),0)</f>
        <v>0</v>
      </c>
      <c r="Y121" s="589">
        <f>IFERROR(IF(VLOOKUP(Y$2,MODULY_CBA!$B$3:$N$23,13,0)&lt;='TCO TO BE- SW'!$D121,SUM('TCO TO BE- SW'!Y$37:Y$46)*VLOOKUP('TCO TO BE- SW'!Y$2,MODULY_CBA!$B$3:$L$23,11,0),0),0)</f>
        <v>0</v>
      </c>
      <c r="Z121" s="589">
        <f>IFERROR(IF(VLOOKUP(Z$2,MODULY_CBA!$B$3:$N$23,13,0)&lt;='TCO TO BE- SW'!$D121,SUM('TCO TO BE- SW'!Z$37:Z$46)*VLOOKUP('TCO TO BE- SW'!Z$2,MODULY_CBA!$B$3:$L$23,11,0),0),0)</f>
        <v>0</v>
      </c>
    </row>
    <row r="122" spans="1:26" outlineLevel="2">
      <c r="A122" s="824"/>
      <c r="B122" s="825"/>
      <c r="C122" s="825"/>
      <c r="D122" s="64">
        <v>3</v>
      </c>
      <c r="E122" s="68">
        <f t="shared" si="14"/>
        <v>0</v>
      </c>
      <c r="F122" s="589">
        <f>IFERROR(IF(VLOOKUP(F$2,MODULY_CBA!$B$3:$N$23,13,0)&lt;='TCO TO BE- SW'!$D122,SUM('TCO TO BE- SW'!F$37:F$46)*VLOOKUP('TCO TO BE- SW'!F$2,MODULY_CBA!$B$3:$L$23,11,0),0),0)</f>
        <v>0</v>
      </c>
      <c r="G122" s="589">
        <f>IFERROR(IF(VLOOKUP(G$2,MODULY_CBA!$B$3:$N$23,13,0)&lt;='TCO TO BE- SW'!$D122,SUM('TCO TO BE- SW'!G$37:G$46)*VLOOKUP('TCO TO BE- SW'!G$2,MODULY_CBA!$B$3:$L$23,11,0),0),0)</f>
        <v>0</v>
      </c>
      <c r="H122" s="589">
        <f>IFERROR(IF(VLOOKUP(H$2,MODULY_CBA!$B$3:$N$23,13,0)&lt;='TCO TO BE- SW'!$D122,SUM('TCO TO BE- SW'!H$37:H$46)*VLOOKUP('TCO TO BE- SW'!H$2,MODULY_CBA!$B$3:$L$23,11,0),0),0)</f>
        <v>0</v>
      </c>
      <c r="I122" s="589">
        <f>IFERROR(IF(VLOOKUP(I$2,MODULY_CBA!$B$3:$N$23,13,0)&lt;='TCO TO BE- SW'!$D122,SUM('TCO TO BE- SW'!I$37:I$46)*VLOOKUP('TCO TO BE- SW'!I$2,MODULY_CBA!$B$3:$L$23,11,0),0),0)</f>
        <v>0</v>
      </c>
      <c r="J122" s="589">
        <f>IFERROR(IF(VLOOKUP(J$2,MODULY_CBA!$B$3:$N$23,13,0)&lt;='TCO TO BE- SW'!$D122,SUM('TCO TO BE- SW'!J$37:J$46)*VLOOKUP('TCO TO BE- SW'!J$2,MODULY_CBA!$B$3:$L$23,11,0),0),0)</f>
        <v>0</v>
      </c>
      <c r="K122" s="589">
        <f>IFERROR(IF(VLOOKUP(K$2,MODULY_CBA!$B$3:$N$23,13,0)&lt;='TCO TO BE- SW'!$D122,SUM('TCO TO BE- SW'!K$37:K$46)*VLOOKUP('TCO TO BE- SW'!K$2,MODULY_CBA!$B$3:$L$23,11,0),0),0)</f>
        <v>0</v>
      </c>
      <c r="L122" s="589">
        <f>IFERROR(IF(VLOOKUP(L$2,MODULY_CBA!$B$3:$N$23,13,0)&lt;='TCO TO BE- SW'!$D122,SUM('TCO TO BE- SW'!L$37:L$46)*VLOOKUP('TCO TO BE- SW'!L$2,MODULY_CBA!$B$3:$L$23,11,0),0),0)</f>
        <v>0</v>
      </c>
      <c r="M122" s="589">
        <f>IFERROR(IF(VLOOKUP(M$2,MODULY_CBA!$B$3:$N$23,13,0)&lt;='TCO TO BE- SW'!$D122,SUM('TCO TO BE- SW'!M$37:M$46)*VLOOKUP('TCO TO BE- SW'!M$2,MODULY_CBA!$B$3:$L$23,11,0),0),0)</f>
        <v>0</v>
      </c>
      <c r="N122" s="589">
        <f>IFERROR(IF(VLOOKUP(N$2,MODULY_CBA!$B$3:$N$23,13,0)&lt;='TCO TO BE- SW'!$D122,SUM('TCO TO BE- SW'!N$37:N$46)*VLOOKUP('TCO TO BE- SW'!N$2,MODULY_CBA!$B$3:$L$23,11,0),0),0)</f>
        <v>0</v>
      </c>
      <c r="O122" s="589">
        <f>IFERROR(IF(VLOOKUP(O$2,MODULY_CBA!$B$3:$N$23,13,0)&lt;='TCO TO BE- SW'!$D122,SUM('TCO TO BE- SW'!O$37:O$46)*VLOOKUP('TCO TO BE- SW'!O$2,MODULY_CBA!$B$3:$L$23,11,0),0),0)</f>
        <v>0</v>
      </c>
      <c r="P122" s="589">
        <f>IFERROR(IF(VLOOKUP(P$2,MODULY_CBA!$B$3:$N$23,13,0)&lt;='TCO TO BE- SW'!$D122,SUM('TCO TO BE- SW'!P$37:P$46)*VLOOKUP('TCO TO BE- SW'!P$2,MODULY_CBA!$B$3:$L$23,11,0),0),0)</f>
        <v>0</v>
      </c>
      <c r="Q122" s="589">
        <f>IFERROR(IF(VLOOKUP(Q$2,MODULY_CBA!$B$3:$N$23,13,0)&lt;='TCO TO BE- SW'!$D122,SUM('TCO TO BE- SW'!Q$37:Q$46)*VLOOKUP('TCO TO BE- SW'!Q$2,MODULY_CBA!$B$3:$L$23,11,0),0),0)</f>
        <v>0</v>
      </c>
      <c r="R122" s="589">
        <f>IFERROR(IF(VLOOKUP(R$2,MODULY_CBA!$B$3:$N$23,13,0)&lt;='TCO TO BE- SW'!$D122,SUM('TCO TO BE- SW'!R$37:R$46)*VLOOKUP('TCO TO BE- SW'!R$2,MODULY_CBA!$B$3:$L$23,11,0),0),0)</f>
        <v>0</v>
      </c>
      <c r="S122" s="589">
        <f>IFERROR(IF(VLOOKUP(S$2,MODULY_CBA!$B$3:$N$23,13,0)&lt;='TCO TO BE- SW'!$D122,SUM('TCO TO BE- SW'!S$37:S$46)*VLOOKUP('TCO TO BE- SW'!S$2,MODULY_CBA!$B$3:$L$23,11,0),0),0)</f>
        <v>0</v>
      </c>
      <c r="T122" s="589">
        <f>IFERROR(IF(VLOOKUP(T$2,MODULY_CBA!$B$3:$N$23,13,0)&lt;='TCO TO BE- SW'!$D122,SUM('TCO TO BE- SW'!T$37:T$46)*VLOOKUP('TCO TO BE- SW'!T$2,MODULY_CBA!$B$3:$L$23,11,0),0),0)</f>
        <v>0</v>
      </c>
      <c r="U122" s="589">
        <f>IFERROR(IF(VLOOKUP(U$2,MODULY_CBA!$B$3:$N$23,13,0)&lt;='TCO TO BE- SW'!$D122,SUM('TCO TO BE- SW'!U$37:U$46)*VLOOKUP('TCO TO BE- SW'!U$2,MODULY_CBA!$B$3:$L$23,11,0),0),0)</f>
        <v>0</v>
      </c>
      <c r="V122" s="589">
        <f>IFERROR(IF(VLOOKUP(V$2,MODULY_CBA!$B$3:$N$23,13,0)&lt;='TCO TO BE- SW'!$D122,SUM('TCO TO BE- SW'!V$37:V$46)*VLOOKUP('TCO TO BE- SW'!V$2,MODULY_CBA!$B$3:$L$23,11,0),0),0)</f>
        <v>0</v>
      </c>
      <c r="W122" s="589">
        <f>IFERROR(IF(VLOOKUP(W$2,MODULY_CBA!$B$3:$N$23,13,0)&lt;='TCO TO BE- SW'!$D122,SUM('TCO TO BE- SW'!W$37:W$46)*VLOOKUP('TCO TO BE- SW'!W$2,MODULY_CBA!$B$3:$L$23,11,0),0),0)</f>
        <v>0</v>
      </c>
      <c r="X122" s="589">
        <f>IFERROR(IF(VLOOKUP(X$2,MODULY_CBA!$B$3:$N$23,13,0)&lt;='TCO TO BE- SW'!$D122,SUM('TCO TO BE- SW'!X$37:X$46)*VLOOKUP('TCO TO BE- SW'!X$2,MODULY_CBA!$B$3:$L$23,11,0),0),0)</f>
        <v>0</v>
      </c>
      <c r="Y122" s="589">
        <f>IFERROR(IF(VLOOKUP(Y$2,MODULY_CBA!$B$3:$N$23,13,0)&lt;='TCO TO BE- SW'!$D122,SUM('TCO TO BE- SW'!Y$37:Y$46)*VLOOKUP('TCO TO BE- SW'!Y$2,MODULY_CBA!$B$3:$L$23,11,0),0),0)</f>
        <v>0</v>
      </c>
      <c r="Z122" s="589">
        <f>IFERROR(IF(VLOOKUP(Z$2,MODULY_CBA!$B$3:$N$23,13,0)&lt;='TCO TO BE- SW'!$D122,SUM('TCO TO BE- SW'!Z$37:Z$46)*VLOOKUP('TCO TO BE- SW'!Z$2,MODULY_CBA!$B$3:$L$23,11,0),0),0)</f>
        <v>0</v>
      </c>
    </row>
    <row r="123" spans="1:26" outlineLevel="2">
      <c r="A123" s="824"/>
      <c r="B123" s="825"/>
      <c r="C123" s="825"/>
      <c r="D123" s="64">
        <v>4</v>
      </c>
      <c r="E123" s="68">
        <f t="shared" si="14"/>
        <v>0</v>
      </c>
      <c r="F123" s="589">
        <f>IFERROR(IF(VLOOKUP(F$2,MODULY_CBA!$B$3:$N$23,13,0)&lt;='TCO TO BE- SW'!$D123,SUM('TCO TO BE- SW'!F$37:F$46)*VLOOKUP('TCO TO BE- SW'!F$2,MODULY_CBA!$B$3:$L$23,11,0),0),0)</f>
        <v>0</v>
      </c>
      <c r="G123" s="589">
        <f>IFERROR(IF(VLOOKUP(G$2,MODULY_CBA!$B$3:$N$23,13,0)&lt;='TCO TO BE- SW'!$D123,SUM('TCO TO BE- SW'!G$37:G$46)*VLOOKUP('TCO TO BE- SW'!G$2,MODULY_CBA!$B$3:$L$23,11,0),0),0)</f>
        <v>0</v>
      </c>
      <c r="H123" s="589">
        <f>IFERROR(IF(VLOOKUP(H$2,MODULY_CBA!$B$3:$N$23,13,0)&lt;='TCO TO BE- SW'!$D123,SUM('TCO TO BE- SW'!H$37:H$46)*VLOOKUP('TCO TO BE- SW'!H$2,MODULY_CBA!$B$3:$L$23,11,0),0),0)</f>
        <v>0</v>
      </c>
      <c r="I123" s="589">
        <f>IFERROR(IF(VLOOKUP(I$2,MODULY_CBA!$B$3:$N$23,13,0)&lt;='TCO TO BE- SW'!$D123,SUM('TCO TO BE- SW'!I$37:I$46)*VLOOKUP('TCO TO BE- SW'!I$2,MODULY_CBA!$B$3:$L$23,11,0),0),0)</f>
        <v>0</v>
      </c>
      <c r="J123" s="589">
        <f>IFERROR(IF(VLOOKUP(J$2,MODULY_CBA!$B$3:$N$23,13,0)&lt;='TCO TO BE- SW'!$D123,SUM('TCO TO BE- SW'!J$37:J$46)*VLOOKUP('TCO TO BE- SW'!J$2,MODULY_CBA!$B$3:$L$23,11,0),0),0)</f>
        <v>0</v>
      </c>
      <c r="K123" s="589">
        <f>IFERROR(IF(VLOOKUP(K$2,MODULY_CBA!$B$3:$N$23,13,0)&lt;='TCO TO BE- SW'!$D123,SUM('TCO TO BE- SW'!K$37:K$46)*VLOOKUP('TCO TO BE- SW'!K$2,MODULY_CBA!$B$3:$L$23,11,0),0),0)</f>
        <v>0</v>
      </c>
      <c r="L123" s="589">
        <f>IFERROR(IF(VLOOKUP(L$2,MODULY_CBA!$B$3:$N$23,13,0)&lt;='TCO TO BE- SW'!$D123,SUM('TCO TO BE- SW'!L$37:L$46)*VLOOKUP('TCO TO BE- SW'!L$2,MODULY_CBA!$B$3:$L$23,11,0),0),0)</f>
        <v>0</v>
      </c>
      <c r="M123" s="589">
        <f>IFERROR(IF(VLOOKUP(M$2,MODULY_CBA!$B$3:$N$23,13,0)&lt;='TCO TO BE- SW'!$D123,SUM('TCO TO BE- SW'!M$37:M$46)*VLOOKUP('TCO TO BE- SW'!M$2,MODULY_CBA!$B$3:$L$23,11,0),0),0)</f>
        <v>0</v>
      </c>
      <c r="N123" s="589">
        <f>IFERROR(IF(VLOOKUP(N$2,MODULY_CBA!$B$3:$N$23,13,0)&lt;='TCO TO BE- SW'!$D123,SUM('TCO TO BE- SW'!N$37:N$46)*VLOOKUP('TCO TO BE- SW'!N$2,MODULY_CBA!$B$3:$L$23,11,0),0),0)</f>
        <v>0</v>
      </c>
      <c r="O123" s="589">
        <f>IFERROR(IF(VLOOKUP(O$2,MODULY_CBA!$B$3:$N$23,13,0)&lt;='TCO TO BE- SW'!$D123,SUM('TCO TO BE- SW'!O$37:O$46)*VLOOKUP('TCO TO BE- SW'!O$2,MODULY_CBA!$B$3:$L$23,11,0),0),0)</f>
        <v>0</v>
      </c>
      <c r="P123" s="589">
        <f>IFERROR(IF(VLOOKUP(P$2,MODULY_CBA!$B$3:$N$23,13,0)&lt;='TCO TO BE- SW'!$D123,SUM('TCO TO BE- SW'!P$37:P$46)*VLOOKUP('TCO TO BE- SW'!P$2,MODULY_CBA!$B$3:$L$23,11,0),0),0)</f>
        <v>0</v>
      </c>
      <c r="Q123" s="589">
        <f>IFERROR(IF(VLOOKUP(Q$2,MODULY_CBA!$B$3:$N$23,13,0)&lt;='TCO TO BE- SW'!$D123,SUM('TCO TO BE- SW'!Q$37:Q$46)*VLOOKUP('TCO TO BE- SW'!Q$2,MODULY_CBA!$B$3:$L$23,11,0),0),0)</f>
        <v>0</v>
      </c>
      <c r="R123" s="589">
        <f>IFERROR(IF(VLOOKUP(R$2,MODULY_CBA!$B$3:$N$23,13,0)&lt;='TCO TO BE- SW'!$D123,SUM('TCO TO BE- SW'!R$37:R$46)*VLOOKUP('TCO TO BE- SW'!R$2,MODULY_CBA!$B$3:$L$23,11,0),0),0)</f>
        <v>0</v>
      </c>
      <c r="S123" s="589">
        <f>IFERROR(IF(VLOOKUP(S$2,MODULY_CBA!$B$3:$N$23,13,0)&lt;='TCO TO BE- SW'!$D123,SUM('TCO TO BE- SW'!S$37:S$46)*VLOOKUP('TCO TO BE- SW'!S$2,MODULY_CBA!$B$3:$L$23,11,0),0),0)</f>
        <v>0</v>
      </c>
      <c r="T123" s="589">
        <f>IFERROR(IF(VLOOKUP(T$2,MODULY_CBA!$B$3:$N$23,13,0)&lt;='TCO TO BE- SW'!$D123,SUM('TCO TO BE- SW'!T$37:T$46)*VLOOKUP('TCO TO BE- SW'!T$2,MODULY_CBA!$B$3:$L$23,11,0),0),0)</f>
        <v>0</v>
      </c>
      <c r="U123" s="589">
        <f>IFERROR(IF(VLOOKUP(U$2,MODULY_CBA!$B$3:$N$23,13,0)&lt;='TCO TO BE- SW'!$D123,SUM('TCO TO BE- SW'!U$37:U$46)*VLOOKUP('TCO TO BE- SW'!U$2,MODULY_CBA!$B$3:$L$23,11,0),0),0)</f>
        <v>0</v>
      </c>
      <c r="V123" s="589">
        <f>IFERROR(IF(VLOOKUP(V$2,MODULY_CBA!$B$3:$N$23,13,0)&lt;='TCO TO BE- SW'!$D123,SUM('TCO TO BE- SW'!V$37:V$46)*VLOOKUP('TCO TO BE- SW'!V$2,MODULY_CBA!$B$3:$L$23,11,0),0),0)</f>
        <v>0</v>
      </c>
      <c r="W123" s="589">
        <f>IFERROR(IF(VLOOKUP(W$2,MODULY_CBA!$B$3:$N$23,13,0)&lt;='TCO TO BE- SW'!$D123,SUM('TCO TO BE- SW'!W$37:W$46)*VLOOKUP('TCO TO BE- SW'!W$2,MODULY_CBA!$B$3:$L$23,11,0),0),0)</f>
        <v>0</v>
      </c>
      <c r="X123" s="589">
        <f>IFERROR(IF(VLOOKUP(X$2,MODULY_CBA!$B$3:$N$23,13,0)&lt;='TCO TO BE- SW'!$D123,SUM('TCO TO BE- SW'!X$37:X$46)*VLOOKUP('TCO TO BE- SW'!X$2,MODULY_CBA!$B$3:$L$23,11,0),0),0)</f>
        <v>0</v>
      </c>
      <c r="Y123" s="589">
        <f>IFERROR(IF(VLOOKUP(Y$2,MODULY_CBA!$B$3:$N$23,13,0)&lt;='TCO TO BE- SW'!$D123,SUM('TCO TO BE- SW'!Y$37:Y$46)*VLOOKUP('TCO TO BE- SW'!Y$2,MODULY_CBA!$B$3:$L$23,11,0),0),0)</f>
        <v>0</v>
      </c>
      <c r="Z123" s="589">
        <f>IFERROR(IF(VLOOKUP(Z$2,MODULY_CBA!$B$3:$N$23,13,0)&lt;='TCO TO BE- SW'!$D123,SUM('TCO TO BE- SW'!Z$37:Z$46)*VLOOKUP('TCO TO BE- SW'!Z$2,MODULY_CBA!$B$3:$L$23,11,0),0),0)</f>
        <v>0</v>
      </c>
    </row>
    <row r="124" spans="1:26" outlineLevel="2">
      <c r="A124" s="824"/>
      <c r="B124" s="825"/>
      <c r="C124" s="825"/>
      <c r="D124" s="64">
        <v>5</v>
      </c>
      <c r="E124" s="68">
        <f t="shared" si="14"/>
        <v>0</v>
      </c>
      <c r="F124" s="589">
        <f>IFERROR(IF(VLOOKUP(F$2,MODULY_CBA!$B$3:$N$23,13,0)&lt;='TCO TO BE- SW'!$D124,SUM('TCO TO BE- SW'!F$37:F$46)*VLOOKUP('TCO TO BE- SW'!F$2,MODULY_CBA!$B$3:$L$23,11,0),0),0)</f>
        <v>0</v>
      </c>
      <c r="G124" s="589">
        <f>IFERROR(IF(VLOOKUP(G$2,MODULY_CBA!$B$3:$N$23,13,0)&lt;='TCO TO BE- SW'!$D124,SUM('TCO TO BE- SW'!G$37:G$46)*VLOOKUP('TCO TO BE- SW'!G$2,MODULY_CBA!$B$3:$L$23,11,0),0),0)</f>
        <v>0</v>
      </c>
      <c r="H124" s="589">
        <f>IFERROR(IF(VLOOKUP(H$2,MODULY_CBA!$B$3:$N$23,13,0)&lt;='TCO TO BE- SW'!$D124,SUM('TCO TO BE- SW'!H$37:H$46)*VLOOKUP('TCO TO BE- SW'!H$2,MODULY_CBA!$B$3:$L$23,11,0),0),0)</f>
        <v>0</v>
      </c>
      <c r="I124" s="589">
        <f>IFERROR(IF(VLOOKUP(I$2,MODULY_CBA!$B$3:$N$23,13,0)&lt;='TCO TO BE- SW'!$D124,SUM('TCO TO BE- SW'!I$37:I$46)*VLOOKUP('TCO TO BE- SW'!I$2,MODULY_CBA!$B$3:$L$23,11,0),0),0)</f>
        <v>0</v>
      </c>
      <c r="J124" s="589">
        <f>IFERROR(IF(VLOOKUP(J$2,MODULY_CBA!$B$3:$N$23,13,0)&lt;='TCO TO BE- SW'!$D124,SUM('TCO TO BE- SW'!J$37:J$46)*VLOOKUP('TCO TO BE- SW'!J$2,MODULY_CBA!$B$3:$L$23,11,0),0),0)</f>
        <v>0</v>
      </c>
      <c r="K124" s="589">
        <f>IFERROR(IF(VLOOKUP(K$2,MODULY_CBA!$B$3:$N$23,13,0)&lt;='TCO TO BE- SW'!$D124,SUM('TCO TO BE- SW'!K$37:K$46)*VLOOKUP('TCO TO BE- SW'!K$2,MODULY_CBA!$B$3:$L$23,11,0),0),0)</f>
        <v>0</v>
      </c>
      <c r="L124" s="589">
        <f>IFERROR(IF(VLOOKUP(L$2,MODULY_CBA!$B$3:$N$23,13,0)&lt;='TCO TO BE- SW'!$D124,SUM('TCO TO BE- SW'!L$37:L$46)*VLOOKUP('TCO TO BE- SW'!L$2,MODULY_CBA!$B$3:$L$23,11,0),0),0)</f>
        <v>0</v>
      </c>
      <c r="M124" s="589">
        <f>IFERROR(IF(VLOOKUP(M$2,MODULY_CBA!$B$3:$N$23,13,0)&lt;='TCO TO BE- SW'!$D124,SUM('TCO TO BE- SW'!M$37:M$46)*VLOOKUP('TCO TO BE- SW'!M$2,MODULY_CBA!$B$3:$L$23,11,0),0),0)</f>
        <v>0</v>
      </c>
      <c r="N124" s="589">
        <f>IFERROR(IF(VLOOKUP(N$2,MODULY_CBA!$B$3:$N$23,13,0)&lt;='TCO TO BE- SW'!$D124,SUM('TCO TO BE- SW'!N$37:N$46)*VLOOKUP('TCO TO BE- SW'!N$2,MODULY_CBA!$B$3:$L$23,11,0),0),0)</f>
        <v>0</v>
      </c>
      <c r="O124" s="589">
        <f>IFERROR(IF(VLOOKUP(O$2,MODULY_CBA!$B$3:$N$23,13,0)&lt;='TCO TO BE- SW'!$D124,SUM('TCO TO BE- SW'!O$37:O$46)*VLOOKUP('TCO TO BE- SW'!O$2,MODULY_CBA!$B$3:$L$23,11,0),0),0)</f>
        <v>0</v>
      </c>
      <c r="P124" s="589">
        <f>IFERROR(IF(VLOOKUP(P$2,MODULY_CBA!$B$3:$N$23,13,0)&lt;='TCO TO BE- SW'!$D124,SUM('TCO TO BE- SW'!P$37:P$46)*VLOOKUP('TCO TO BE- SW'!P$2,MODULY_CBA!$B$3:$L$23,11,0),0),0)</f>
        <v>0</v>
      </c>
      <c r="Q124" s="589">
        <f>IFERROR(IF(VLOOKUP(Q$2,MODULY_CBA!$B$3:$N$23,13,0)&lt;='TCO TO BE- SW'!$D124,SUM('TCO TO BE- SW'!Q$37:Q$46)*VLOOKUP('TCO TO BE- SW'!Q$2,MODULY_CBA!$B$3:$L$23,11,0),0),0)</f>
        <v>0</v>
      </c>
      <c r="R124" s="589">
        <f>IFERROR(IF(VLOOKUP(R$2,MODULY_CBA!$B$3:$N$23,13,0)&lt;='TCO TO BE- SW'!$D124,SUM('TCO TO BE- SW'!R$37:R$46)*VLOOKUP('TCO TO BE- SW'!R$2,MODULY_CBA!$B$3:$L$23,11,0),0),0)</f>
        <v>0</v>
      </c>
      <c r="S124" s="589">
        <f>IFERROR(IF(VLOOKUP(S$2,MODULY_CBA!$B$3:$N$23,13,0)&lt;='TCO TO BE- SW'!$D124,SUM('TCO TO BE- SW'!S$37:S$46)*VLOOKUP('TCO TO BE- SW'!S$2,MODULY_CBA!$B$3:$L$23,11,0),0),0)</f>
        <v>0</v>
      </c>
      <c r="T124" s="589">
        <f>IFERROR(IF(VLOOKUP(T$2,MODULY_CBA!$B$3:$N$23,13,0)&lt;='TCO TO BE- SW'!$D124,SUM('TCO TO BE- SW'!T$37:T$46)*VLOOKUP('TCO TO BE- SW'!T$2,MODULY_CBA!$B$3:$L$23,11,0),0),0)</f>
        <v>0</v>
      </c>
      <c r="U124" s="589">
        <f>IFERROR(IF(VLOOKUP(U$2,MODULY_CBA!$B$3:$N$23,13,0)&lt;='TCO TO BE- SW'!$D124,SUM('TCO TO BE- SW'!U$37:U$46)*VLOOKUP('TCO TO BE- SW'!U$2,MODULY_CBA!$B$3:$L$23,11,0),0),0)</f>
        <v>0</v>
      </c>
      <c r="V124" s="589">
        <f>IFERROR(IF(VLOOKUP(V$2,MODULY_CBA!$B$3:$N$23,13,0)&lt;='TCO TO BE- SW'!$D124,SUM('TCO TO BE- SW'!V$37:V$46)*VLOOKUP('TCO TO BE- SW'!V$2,MODULY_CBA!$B$3:$L$23,11,0),0),0)</f>
        <v>0</v>
      </c>
      <c r="W124" s="589">
        <f>IFERROR(IF(VLOOKUP(W$2,MODULY_CBA!$B$3:$N$23,13,0)&lt;='TCO TO BE- SW'!$D124,SUM('TCO TO BE- SW'!W$37:W$46)*VLOOKUP('TCO TO BE- SW'!W$2,MODULY_CBA!$B$3:$L$23,11,0),0),0)</f>
        <v>0</v>
      </c>
      <c r="X124" s="589">
        <f>IFERROR(IF(VLOOKUP(X$2,MODULY_CBA!$B$3:$N$23,13,0)&lt;='TCO TO BE- SW'!$D124,SUM('TCO TO BE- SW'!X$37:X$46)*VLOOKUP('TCO TO BE- SW'!X$2,MODULY_CBA!$B$3:$L$23,11,0),0),0)</f>
        <v>0</v>
      </c>
      <c r="Y124" s="589">
        <f>IFERROR(IF(VLOOKUP(Y$2,MODULY_CBA!$B$3:$N$23,13,0)&lt;='TCO TO BE- SW'!$D124,SUM('TCO TO BE- SW'!Y$37:Y$46)*VLOOKUP('TCO TO BE- SW'!Y$2,MODULY_CBA!$B$3:$L$23,11,0),0),0)</f>
        <v>0</v>
      </c>
      <c r="Z124" s="589">
        <f>IFERROR(IF(VLOOKUP(Z$2,MODULY_CBA!$B$3:$N$23,13,0)&lt;='TCO TO BE- SW'!$D124,SUM('TCO TO BE- SW'!Z$37:Z$46)*VLOOKUP('TCO TO BE- SW'!Z$2,MODULY_CBA!$B$3:$L$23,11,0),0),0)</f>
        <v>0</v>
      </c>
    </row>
    <row r="125" spans="1:26" outlineLevel="2">
      <c r="A125" s="824"/>
      <c r="B125" s="825"/>
      <c r="C125" s="825"/>
      <c r="D125" s="64">
        <v>6</v>
      </c>
      <c r="E125" s="68">
        <f t="shared" si="14"/>
        <v>0</v>
      </c>
      <c r="F125" s="589">
        <f>IFERROR(IF(VLOOKUP(F$2,MODULY_CBA!$B$3:$N$23,13,0)&lt;='TCO TO BE- SW'!$D125,SUM('TCO TO BE- SW'!F$37:F$46)*VLOOKUP('TCO TO BE- SW'!F$2,MODULY_CBA!$B$3:$L$23,11,0),0),0)</f>
        <v>0</v>
      </c>
      <c r="G125" s="589">
        <f>IFERROR(IF(VLOOKUP(G$2,MODULY_CBA!$B$3:$N$23,13,0)&lt;='TCO TO BE- SW'!$D125,SUM('TCO TO BE- SW'!G$37:G$46)*VLOOKUP('TCO TO BE- SW'!G$2,MODULY_CBA!$B$3:$L$23,11,0),0),0)</f>
        <v>0</v>
      </c>
      <c r="H125" s="589">
        <f>IFERROR(IF(VLOOKUP(H$2,MODULY_CBA!$B$3:$N$23,13,0)&lt;='TCO TO BE- SW'!$D125,SUM('TCO TO BE- SW'!H$37:H$46)*VLOOKUP('TCO TO BE- SW'!H$2,MODULY_CBA!$B$3:$L$23,11,0),0),0)</f>
        <v>0</v>
      </c>
      <c r="I125" s="589">
        <f>IFERROR(IF(VLOOKUP(I$2,MODULY_CBA!$B$3:$N$23,13,0)&lt;='TCO TO BE- SW'!$D125,SUM('TCO TO BE- SW'!I$37:I$46)*VLOOKUP('TCO TO BE- SW'!I$2,MODULY_CBA!$B$3:$L$23,11,0),0),0)</f>
        <v>0</v>
      </c>
      <c r="J125" s="589">
        <f>IFERROR(IF(VLOOKUP(J$2,MODULY_CBA!$B$3:$N$23,13,0)&lt;='TCO TO BE- SW'!$D125,SUM('TCO TO BE- SW'!J$37:J$46)*VLOOKUP('TCO TO BE- SW'!J$2,MODULY_CBA!$B$3:$L$23,11,0),0),0)</f>
        <v>0</v>
      </c>
      <c r="K125" s="589">
        <f>IFERROR(IF(VLOOKUP(K$2,MODULY_CBA!$B$3:$N$23,13,0)&lt;='TCO TO BE- SW'!$D125,SUM('TCO TO BE- SW'!K$37:K$46)*VLOOKUP('TCO TO BE- SW'!K$2,MODULY_CBA!$B$3:$L$23,11,0),0),0)</f>
        <v>0</v>
      </c>
      <c r="L125" s="589">
        <f>IFERROR(IF(VLOOKUP(L$2,MODULY_CBA!$B$3:$N$23,13,0)&lt;='TCO TO BE- SW'!$D125,SUM('TCO TO BE- SW'!L$37:L$46)*VLOOKUP('TCO TO BE- SW'!L$2,MODULY_CBA!$B$3:$L$23,11,0),0),0)</f>
        <v>0</v>
      </c>
      <c r="M125" s="589">
        <f>IFERROR(IF(VLOOKUP(M$2,MODULY_CBA!$B$3:$N$23,13,0)&lt;='TCO TO BE- SW'!$D125,SUM('TCO TO BE- SW'!M$37:M$46)*VLOOKUP('TCO TO BE- SW'!M$2,MODULY_CBA!$B$3:$L$23,11,0),0),0)</f>
        <v>0</v>
      </c>
      <c r="N125" s="589">
        <f>IFERROR(IF(VLOOKUP(N$2,MODULY_CBA!$B$3:$N$23,13,0)&lt;='TCO TO BE- SW'!$D125,SUM('TCO TO BE- SW'!N$37:N$46)*VLOOKUP('TCO TO BE- SW'!N$2,MODULY_CBA!$B$3:$L$23,11,0),0),0)</f>
        <v>0</v>
      </c>
      <c r="O125" s="589">
        <f>IFERROR(IF(VLOOKUP(O$2,MODULY_CBA!$B$3:$N$23,13,0)&lt;='TCO TO BE- SW'!$D125,SUM('TCO TO BE- SW'!O$37:O$46)*VLOOKUP('TCO TO BE- SW'!O$2,MODULY_CBA!$B$3:$L$23,11,0),0),0)</f>
        <v>0</v>
      </c>
      <c r="P125" s="589">
        <f>IFERROR(IF(VLOOKUP(P$2,MODULY_CBA!$B$3:$N$23,13,0)&lt;='TCO TO BE- SW'!$D125,SUM('TCO TO BE- SW'!P$37:P$46)*VLOOKUP('TCO TO BE- SW'!P$2,MODULY_CBA!$B$3:$L$23,11,0),0),0)</f>
        <v>0</v>
      </c>
      <c r="Q125" s="589">
        <f>IFERROR(IF(VLOOKUP(Q$2,MODULY_CBA!$B$3:$N$23,13,0)&lt;='TCO TO BE- SW'!$D125,SUM('TCO TO BE- SW'!Q$37:Q$46)*VLOOKUP('TCO TO BE- SW'!Q$2,MODULY_CBA!$B$3:$L$23,11,0),0),0)</f>
        <v>0</v>
      </c>
      <c r="R125" s="589">
        <f>IFERROR(IF(VLOOKUP(R$2,MODULY_CBA!$B$3:$N$23,13,0)&lt;='TCO TO BE- SW'!$D125,SUM('TCO TO BE- SW'!R$37:R$46)*VLOOKUP('TCO TO BE- SW'!R$2,MODULY_CBA!$B$3:$L$23,11,0),0),0)</f>
        <v>0</v>
      </c>
      <c r="S125" s="589">
        <f>IFERROR(IF(VLOOKUP(S$2,MODULY_CBA!$B$3:$N$23,13,0)&lt;='TCO TO BE- SW'!$D125,SUM('TCO TO BE- SW'!S$37:S$46)*VLOOKUP('TCO TO BE- SW'!S$2,MODULY_CBA!$B$3:$L$23,11,0),0),0)</f>
        <v>0</v>
      </c>
      <c r="T125" s="589">
        <f>IFERROR(IF(VLOOKUP(T$2,MODULY_CBA!$B$3:$N$23,13,0)&lt;='TCO TO BE- SW'!$D125,SUM('TCO TO BE- SW'!T$37:T$46)*VLOOKUP('TCO TO BE- SW'!T$2,MODULY_CBA!$B$3:$L$23,11,0),0),0)</f>
        <v>0</v>
      </c>
      <c r="U125" s="589">
        <f>IFERROR(IF(VLOOKUP(U$2,MODULY_CBA!$B$3:$N$23,13,0)&lt;='TCO TO BE- SW'!$D125,SUM('TCO TO BE- SW'!U$37:U$46)*VLOOKUP('TCO TO BE- SW'!U$2,MODULY_CBA!$B$3:$L$23,11,0),0),0)</f>
        <v>0</v>
      </c>
      <c r="V125" s="589">
        <f>IFERROR(IF(VLOOKUP(V$2,MODULY_CBA!$B$3:$N$23,13,0)&lt;='TCO TO BE- SW'!$D125,SUM('TCO TO BE- SW'!V$37:V$46)*VLOOKUP('TCO TO BE- SW'!V$2,MODULY_CBA!$B$3:$L$23,11,0),0),0)</f>
        <v>0</v>
      </c>
      <c r="W125" s="589">
        <f>IFERROR(IF(VLOOKUP(W$2,MODULY_CBA!$B$3:$N$23,13,0)&lt;='TCO TO BE- SW'!$D125,SUM('TCO TO BE- SW'!W$37:W$46)*VLOOKUP('TCO TO BE- SW'!W$2,MODULY_CBA!$B$3:$L$23,11,0),0),0)</f>
        <v>0</v>
      </c>
      <c r="X125" s="589">
        <f>IFERROR(IF(VLOOKUP(X$2,MODULY_CBA!$B$3:$N$23,13,0)&lt;='TCO TO BE- SW'!$D125,SUM('TCO TO BE- SW'!X$37:X$46)*VLOOKUP('TCO TO BE- SW'!X$2,MODULY_CBA!$B$3:$L$23,11,0),0),0)</f>
        <v>0</v>
      </c>
      <c r="Y125" s="589">
        <f>IFERROR(IF(VLOOKUP(Y$2,MODULY_CBA!$B$3:$N$23,13,0)&lt;='TCO TO BE- SW'!$D125,SUM('TCO TO BE- SW'!Y$37:Y$46)*VLOOKUP('TCO TO BE- SW'!Y$2,MODULY_CBA!$B$3:$L$23,11,0),0),0)</f>
        <v>0</v>
      </c>
      <c r="Z125" s="589">
        <f>IFERROR(IF(VLOOKUP(Z$2,MODULY_CBA!$B$3:$N$23,13,0)&lt;='TCO TO BE- SW'!$D125,SUM('TCO TO BE- SW'!Z$37:Z$46)*VLOOKUP('TCO TO BE- SW'!Z$2,MODULY_CBA!$B$3:$L$23,11,0),0),0)</f>
        <v>0</v>
      </c>
    </row>
    <row r="126" spans="1:26" outlineLevel="2">
      <c r="A126" s="824"/>
      <c r="B126" s="825"/>
      <c r="C126" s="825"/>
      <c r="D126" s="64">
        <v>7</v>
      </c>
      <c r="E126" s="68">
        <f t="shared" si="14"/>
        <v>0</v>
      </c>
      <c r="F126" s="589">
        <f>IFERROR(IF(VLOOKUP(F$2,MODULY_CBA!$B$3:$N$23,13,0)&lt;='TCO TO BE- SW'!$D126,SUM('TCO TO BE- SW'!F$37:F$46)*VLOOKUP('TCO TO BE- SW'!F$2,MODULY_CBA!$B$3:$L$23,11,0),0),0)</f>
        <v>0</v>
      </c>
      <c r="G126" s="589">
        <f>IFERROR(IF(VLOOKUP(G$2,MODULY_CBA!$B$3:$N$23,13,0)&lt;='TCO TO BE- SW'!$D126,SUM('TCO TO BE- SW'!G$37:G$46)*VLOOKUP('TCO TO BE- SW'!G$2,MODULY_CBA!$B$3:$L$23,11,0),0),0)</f>
        <v>0</v>
      </c>
      <c r="H126" s="589">
        <f>IFERROR(IF(VLOOKUP(H$2,MODULY_CBA!$B$3:$N$23,13,0)&lt;='TCO TO BE- SW'!$D126,SUM('TCO TO BE- SW'!H$37:H$46)*VLOOKUP('TCO TO BE- SW'!H$2,MODULY_CBA!$B$3:$L$23,11,0),0),0)</f>
        <v>0</v>
      </c>
      <c r="I126" s="589">
        <f>IFERROR(IF(VLOOKUP(I$2,MODULY_CBA!$B$3:$N$23,13,0)&lt;='TCO TO BE- SW'!$D126,SUM('TCO TO BE- SW'!I$37:I$46)*VLOOKUP('TCO TO BE- SW'!I$2,MODULY_CBA!$B$3:$L$23,11,0),0),0)</f>
        <v>0</v>
      </c>
      <c r="J126" s="589">
        <f>IFERROR(IF(VLOOKUP(J$2,MODULY_CBA!$B$3:$N$23,13,0)&lt;='TCO TO BE- SW'!$D126,SUM('TCO TO BE- SW'!J$37:J$46)*VLOOKUP('TCO TO BE- SW'!J$2,MODULY_CBA!$B$3:$L$23,11,0),0),0)</f>
        <v>0</v>
      </c>
      <c r="K126" s="589">
        <f>IFERROR(IF(VLOOKUP(K$2,MODULY_CBA!$B$3:$N$23,13,0)&lt;='TCO TO BE- SW'!$D126,SUM('TCO TO BE- SW'!K$37:K$46)*VLOOKUP('TCO TO BE- SW'!K$2,MODULY_CBA!$B$3:$L$23,11,0),0),0)</f>
        <v>0</v>
      </c>
      <c r="L126" s="589">
        <f>IFERROR(IF(VLOOKUP(L$2,MODULY_CBA!$B$3:$N$23,13,0)&lt;='TCO TO BE- SW'!$D126,SUM('TCO TO BE- SW'!L$37:L$46)*VLOOKUP('TCO TO BE- SW'!L$2,MODULY_CBA!$B$3:$L$23,11,0),0),0)</f>
        <v>0</v>
      </c>
      <c r="M126" s="589">
        <f>IFERROR(IF(VLOOKUP(M$2,MODULY_CBA!$B$3:$N$23,13,0)&lt;='TCO TO BE- SW'!$D126,SUM('TCO TO BE- SW'!M$37:M$46)*VLOOKUP('TCO TO BE- SW'!M$2,MODULY_CBA!$B$3:$L$23,11,0),0),0)</f>
        <v>0</v>
      </c>
      <c r="N126" s="589">
        <f>IFERROR(IF(VLOOKUP(N$2,MODULY_CBA!$B$3:$N$23,13,0)&lt;='TCO TO BE- SW'!$D126,SUM('TCO TO BE- SW'!N$37:N$46)*VLOOKUP('TCO TO BE- SW'!N$2,MODULY_CBA!$B$3:$L$23,11,0),0),0)</f>
        <v>0</v>
      </c>
      <c r="O126" s="589">
        <f>IFERROR(IF(VLOOKUP(O$2,MODULY_CBA!$B$3:$N$23,13,0)&lt;='TCO TO BE- SW'!$D126,SUM('TCO TO BE- SW'!O$37:O$46)*VLOOKUP('TCO TO BE- SW'!O$2,MODULY_CBA!$B$3:$L$23,11,0),0),0)</f>
        <v>0</v>
      </c>
      <c r="P126" s="589">
        <f>IFERROR(IF(VLOOKUP(P$2,MODULY_CBA!$B$3:$N$23,13,0)&lt;='TCO TO BE- SW'!$D126,SUM('TCO TO BE- SW'!P$37:P$46)*VLOOKUP('TCO TO BE- SW'!P$2,MODULY_CBA!$B$3:$L$23,11,0),0),0)</f>
        <v>0</v>
      </c>
      <c r="Q126" s="589">
        <f>IFERROR(IF(VLOOKUP(Q$2,MODULY_CBA!$B$3:$N$23,13,0)&lt;='TCO TO BE- SW'!$D126,SUM('TCO TO BE- SW'!Q$37:Q$46)*VLOOKUP('TCO TO BE- SW'!Q$2,MODULY_CBA!$B$3:$L$23,11,0),0),0)</f>
        <v>0</v>
      </c>
      <c r="R126" s="589">
        <f>IFERROR(IF(VLOOKUP(R$2,MODULY_CBA!$B$3:$N$23,13,0)&lt;='TCO TO BE- SW'!$D126,SUM('TCO TO BE- SW'!R$37:R$46)*VLOOKUP('TCO TO BE- SW'!R$2,MODULY_CBA!$B$3:$L$23,11,0),0),0)</f>
        <v>0</v>
      </c>
      <c r="S126" s="589">
        <f>IFERROR(IF(VLOOKUP(S$2,MODULY_CBA!$B$3:$N$23,13,0)&lt;='TCO TO BE- SW'!$D126,SUM('TCO TO BE- SW'!S$37:S$46)*VLOOKUP('TCO TO BE- SW'!S$2,MODULY_CBA!$B$3:$L$23,11,0),0),0)</f>
        <v>0</v>
      </c>
      <c r="T126" s="589">
        <f>IFERROR(IF(VLOOKUP(T$2,MODULY_CBA!$B$3:$N$23,13,0)&lt;='TCO TO BE- SW'!$D126,SUM('TCO TO BE- SW'!T$37:T$46)*VLOOKUP('TCO TO BE- SW'!T$2,MODULY_CBA!$B$3:$L$23,11,0),0),0)</f>
        <v>0</v>
      </c>
      <c r="U126" s="589">
        <f>IFERROR(IF(VLOOKUP(U$2,MODULY_CBA!$B$3:$N$23,13,0)&lt;='TCO TO BE- SW'!$D126,SUM('TCO TO BE- SW'!U$37:U$46)*VLOOKUP('TCO TO BE- SW'!U$2,MODULY_CBA!$B$3:$L$23,11,0),0),0)</f>
        <v>0</v>
      </c>
      <c r="V126" s="589">
        <f>IFERROR(IF(VLOOKUP(V$2,MODULY_CBA!$B$3:$N$23,13,0)&lt;='TCO TO BE- SW'!$D126,SUM('TCO TO BE- SW'!V$37:V$46)*VLOOKUP('TCO TO BE- SW'!V$2,MODULY_CBA!$B$3:$L$23,11,0),0),0)</f>
        <v>0</v>
      </c>
      <c r="W126" s="589">
        <f>IFERROR(IF(VLOOKUP(W$2,MODULY_CBA!$B$3:$N$23,13,0)&lt;='TCO TO BE- SW'!$D126,SUM('TCO TO BE- SW'!W$37:W$46)*VLOOKUP('TCO TO BE- SW'!W$2,MODULY_CBA!$B$3:$L$23,11,0),0),0)</f>
        <v>0</v>
      </c>
      <c r="X126" s="589">
        <f>IFERROR(IF(VLOOKUP(X$2,MODULY_CBA!$B$3:$N$23,13,0)&lt;='TCO TO BE- SW'!$D126,SUM('TCO TO BE- SW'!X$37:X$46)*VLOOKUP('TCO TO BE- SW'!X$2,MODULY_CBA!$B$3:$L$23,11,0),0),0)</f>
        <v>0</v>
      </c>
      <c r="Y126" s="589">
        <f>IFERROR(IF(VLOOKUP(Y$2,MODULY_CBA!$B$3:$N$23,13,0)&lt;='TCO TO BE- SW'!$D126,SUM('TCO TO BE- SW'!Y$37:Y$46)*VLOOKUP('TCO TO BE- SW'!Y$2,MODULY_CBA!$B$3:$L$23,11,0),0),0)</f>
        <v>0</v>
      </c>
      <c r="Z126" s="589">
        <f>IFERROR(IF(VLOOKUP(Z$2,MODULY_CBA!$B$3:$N$23,13,0)&lt;='TCO TO BE- SW'!$D126,SUM('TCO TO BE- SW'!Z$37:Z$46)*VLOOKUP('TCO TO BE- SW'!Z$2,MODULY_CBA!$B$3:$L$23,11,0),0),0)</f>
        <v>0</v>
      </c>
    </row>
    <row r="127" spans="1:26" outlineLevel="2">
      <c r="A127" s="824"/>
      <c r="B127" s="825"/>
      <c r="C127" s="825"/>
      <c r="D127" s="64">
        <v>8</v>
      </c>
      <c r="E127" s="68">
        <f t="shared" si="14"/>
        <v>0</v>
      </c>
      <c r="F127" s="589">
        <f>IFERROR(IF(VLOOKUP(F$2,MODULY_CBA!$B$3:$N$23,13,0)&lt;='TCO TO BE- SW'!$D127,SUM('TCO TO BE- SW'!F$37:F$46)*VLOOKUP('TCO TO BE- SW'!F$2,MODULY_CBA!$B$3:$L$23,11,0),0),0)</f>
        <v>0</v>
      </c>
      <c r="G127" s="589">
        <f>IFERROR(IF(VLOOKUP(G$2,MODULY_CBA!$B$3:$N$23,13,0)&lt;='TCO TO BE- SW'!$D127,SUM('TCO TO BE- SW'!G$37:G$46)*VLOOKUP('TCO TO BE- SW'!G$2,MODULY_CBA!$B$3:$L$23,11,0),0),0)</f>
        <v>0</v>
      </c>
      <c r="H127" s="589">
        <f>IFERROR(IF(VLOOKUP(H$2,MODULY_CBA!$B$3:$N$23,13,0)&lt;='TCO TO BE- SW'!$D127,SUM('TCO TO BE- SW'!H$37:H$46)*VLOOKUP('TCO TO BE- SW'!H$2,MODULY_CBA!$B$3:$L$23,11,0),0),0)</f>
        <v>0</v>
      </c>
      <c r="I127" s="589">
        <f>IFERROR(IF(VLOOKUP(I$2,MODULY_CBA!$B$3:$N$23,13,0)&lt;='TCO TO BE- SW'!$D127,SUM('TCO TO BE- SW'!I$37:I$46)*VLOOKUP('TCO TO BE- SW'!I$2,MODULY_CBA!$B$3:$L$23,11,0),0),0)</f>
        <v>0</v>
      </c>
      <c r="J127" s="589">
        <f>IFERROR(IF(VLOOKUP(J$2,MODULY_CBA!$B$3:$N$23,13,0)&lt;='TCO TO BE- SW'!$D127,SUM('TCO TO BE- SW'!J$37:J$46)*VLOOKUP('TCO TO BE- SW'!J$2,MODULY_CBA!$B$3:$L$23,11,0),0),0)</f>
        <v>0</v>
      </c>
      <c r="K127" s="589">
        <f>IFERROR(IF(VLOOKUP(K$2,MODULY_CBA!$B$3:$N$23,13,0)&lt;='TCO TO BE- SW'!$D127,SUM('TCO TO BE- SW'!K$37:K$46)*VLOOKUP('TCO TO BE- SW'!K$2,MODULY_CBA!$B$3:$L$23,11,0),0),0)</f>
        <v>0</v>
      </c>
      <c r="L127" s="589">
        <f>IFERROR(IF(VLOOKUP(L$2,MODULY_CBA!$B$3:$N$23,13,0)&lt;='TCO TO BE- SW'!$D127,SUM('TCO TO BE- SW'!L$37:L$46)*VLOOKUP('TCO TO BE- SW'!L$2,MODULY_CBA!$B$3:$L$23,11,0),0),0)</f>
        <v>0</v>
      </c>
      <c r="M127" s="589">
        <f>IFERROR(IF(VLOOKUP(M$2,MODULY_CBA!$B$3:$N$23,13,0)&lt;='TCO TO BE- SW'!$D127,SUM('TCO TO BE- SW'!M$37:M$46)*VLOOKUP('TCO TO BE- SW'!M$2,MODULY_CBA!$B$3:$L$23,11,0),0),0)</f>
        <v>0</v>
      </c>
      <c r="N127" s="589">
        <f>IFERROR(IF(VLOOKUP(N$2,MODULY_CBA!$B$3:$N$23,13,0)&lt;='TCO TO BE- SW'!$D127,SUM('TCO TO BE- SW'!N$37:N$46)*VLOOKUP('TCO TO BE- SW'!N$2,MODULY_CBA!$B$3:$L$23,11,0),0),0)</f>
        <v>0</v>
      </c>
      <c r="O127" s="589">
        <f>IFERROR(IF(VLOOKUP(O$2,MODULY_CBA!$B$3:$N$23,13,0)&lt;='TCO TO BE- SW'!$D127,SUM('TCO TO BE- SW'!O$37:O$46)*VLOOKUP('TCO TO BE- SW'!O$2,MODULY_CBA!$B$3:$L$23,11,0),0),0)</f>
        <v>0</v>
      </c>
      <c r="P127" s="589">
        <f>IFERROR(IF(VLOOKUP(P$2,MODULY_CBA!$B$3:$N$23,13,0)&lt;='TCO TO BE- SW'!$D127,SUM('TCO TO BE- SW'!P$37:P$46)*VLOOKUP('TCO TO BE- SW'!P$2,MODULY_CBA!$B$3:$L$23,11,0),0),0)</f>
        <v>0</v>
      </c>
      <c r="Q127" s="589">
        <f>IFERROR(IF(VLOOKUP(Q$2,MODULY_CBA!$B$3:$N$23,13,0)&lt;='TCO TO BE- SW'!$D127,SUM('TCO TO BE- SW'!Q$37:Q$46)*VLOOKUP('TCO TO BE- SW'!Q$2,MODULY_CBA!$B$3:$L$23,11,0),0),0)</f>
        <v>0</v>
      </c>
      <c r="R127" s="589">
        <f>IFERROR(IF(VLOOKUP(R$2,MODULY_CBA!$B$3:$N$23,13,0)&lt;='TCO TO BE- SW'!$D127,SUM('TCO TO BE- SW'!R$37:R$46)*VLOOKUP('TCO TO BE- SW'!R$2,MODULY_CBA!$B$3:$L$23,11,0),0),0)</f>
        <v>0</v>
      </c>
      <c r="S127" s="589">
        <f>IFERROR(IF(VLOOKUP(S$2,MODULY_CBA!$B$3:$N$23,13,0)&lt;='TCO TO BE- SW'!$D127,SUM('TCO TO BE- SW'!S$37:S$46)*VLOOKUP('TCO TO BE- SW'!S$2,MODULY_CBA!$B$3:$L$23,11,0),0),0)</f>
        <v>0</v>
      </c>
      <c r="T127" s="589">
        <f>IFERROR(IF(VLOOKUP(T$2,MODULY_CBA!$B$3:$N$23,13,0)&lt;='TCO TO BE- SW'!$D127,SUM('TCO TO BE- SW'!T$37:T$46)*VLOOKUP('TCO TO BE- SW'!T$2,MODULY_CBA!$B$3:$L$23,11,0),0),0)</f>
        <v>0</v>
      </c>
      <c r="U127" s="589">
        <f>IFERROR(IF(VLOOKUP(U$2,MODULY_CBA!$B$3:$N$23,13,0)&lt;='TCO TO BE- SW'!$D127,SUM('TCO TO BE- SW'!U$37:U$46)*VLOOKUP('TCO TO BE- SW'!U$2,MODULY_CBA!$B$3:$L$23,11,0),0),0)</f>
        <v>0</v>
      </c>
      <c r="V127" s="589">
        <f>IFERROR(IF(VLOOKUP(V$2,MODULY_CBA!$B$3:$N$23,13,0)&lt;='TCO TO BE- SW'!$D127,SUM('TCO TO BE- SW'!V$37:V$46)*VLOOKUP('TCO TO BE- SW'!V$2,MODULY_CBA!$B$3:$L$23,11,0),0),0)</f>
        <v>0</v>
      </c>
      <c r="W127" s="589">
        <f>IFERROR(IF(VLOOKUP(W$2,MODULY_CBA!$B$3:$N$23,13,0)&lt;='TCO TO BE- SW'!$D127,SUM('TCO TO BE- SW'!W$37:W$46)*VLOOKUP('TCO TO BE- SW'!W$2,MODULY_CBA!$B$3:$L$23,11,0),0),0)</f>
        <v>0</v>
      </c>
      <c r="X127" s="589">
        <f>IFERROR(IF(VLOOKUP(X$2,MODULY_CBA!$B$3:$N$23,13,0)&lt;='TCO TO BE- SW'!$D127,SUM('TCO TO BE- SW'!X$37:X$46)*VLOOKUP('TCO TO BE- SW'!X$2,MODULY_CBA!$B$3:$L$23,11,0),0),0)</f>
        <v>0</v>
      </c>
      <c r="Y127" s="589">
        <f>IFERROR(IF(VLOOKUP(Y$2,MODULY_CBA!$B$3:$N$23,13,0)&lt;='TCO TO BE- SW'!$D127,SUM('TCO TO BE- SW'!Y$37:Y$46)*VLOOKUP('TCO TO BE- SW'!Y$2,MODULY_CBA!$B$3:$L$23,11,0),0),0)</f>
        <v>0</v>
      </c>
      <c r="Z127" s="589">
        <f>IFERROR(IF(VLOOKUP(Z$2,MODULY_CBA!$B$3:$N$23,13,0)&lt;='TCO TO BE- SW'!$D127,SUM('TCO TO BE- SW'!Z$37:Z$46)*VLOOKUP('TCO TO BE- SW'!Z$2,MODULY_CBA!$B$3:$L$23,11,0),0),0)</f>
        <v>0</v>
      </c>
    </row>
    <row r="128" spans="1:26" outlineLevel="2">
      <c r="A128" s="824"/>
      <c r="B128" s="825"/>
      <c r="C128" s="825"/>
      <c r="D128" s="64">
        <v>9</v>
      </c>
      <c r="E128" s="68">
        <f t="shared" si="14"/>
        <v>0</v>
      </c>
      <c r="F128" s="589">
        <f>IFERROR(IF(VLOOKUP(F$2,MODULY_CBA!$B$3:$N$23,13,0)&lt;='TCO TO BE- SW'!$D128,SUM('TCO TO BE- SW'!F$37:F$46)*VLOOKUP('TCO TO BE- SW'!F$2,MODULY_CBA!$B$3:$L$23,11,0),0),0)</f>
        <v>0</v>
      </c>
      <c r="G128" s="589">
        <f>IFERROR(IF(VLOOKUP(G$2,MODULY_CBA!$B$3:$N$23,13,0)&lt;='TCO TO BE- SW'!$D128,SUM('TCO TO BE- SW'!G$37:G$46)*VLOOKUP('TCO TO BE- SW'!G$2,MODULY_CBA!$B$3:$L$23,11,0),0),0)</f>
        <v>0</v>
      </c>
      <c r="H128" s="589">
        <f>IFERROR(IF(VLOOKUP(H$2,MODULY_CBA!$B$3:$N$23,13,0)&lt;='TCO TO BE- SW'!$D128,SUM('TCO TO BE- SW'!H$37:H$46)*VLOOKUP('TCO TO BE- SW'!H$2,MODULY_CBA!$B$3:$L$23,11,0),0),0)</f>
        <v>0</v>
      </c>
      <c r="I128" s="589">
        <f>IFERROR(IF(VLOOKUP(I$2,MODULY_CBA!$B$3:$N$23,13,0)&lt;='TCO TO BE- SW'!$D128,SUM('TCO TO BE- SW'!I$37:I$46)*VLOOKUP('TCO TO BE- SW'!I$2,MODULY_CBA!$B$3:$L$23,11,0),0),0)</f>
        <v>0</v>
      </c>
      <c r="J128" s="589">
        <f>IFERROR(IF(VLOOKUP(J$2,MODULY_CBA!$B$3:$N$23,13,0)&lt;='TCO TO BE- SW'!$D128,SUM('TCO TO BE- SW'!J$37:J$46)*VLOOKUP('TCO TO BE- SW'!J$2,MODULY_CBA!$B$3:$L$23,11,0),0),0)</f>
        <v>0</v>
      </c>
      <c r="K128" s="589">
        <f>IFERROR(IF(VLOOKUP(K$2,MODULY_CBA!$B$3:$N$23,13,0)&lt;='TCO TO BE- SW'!$D128,SUM('TCO TO BE- SW'!K$37:K$46)*VLOOKUP('TCO TO BE- SW'!K$2,MODULY_CBA!$B$3:$L$23,11,0),0),0)</f>
        <v>0</v>
      </c>
      <c r="L128" s="589">
        <f>IFERROR(IF(VLOOKUP(L$2,MODULY_CBA!$B$3:$N$23,13,0)&lt;='TCO TO BE- SW'!$D128,SUM('TCO TO BE- SW'!L$37:L$46)*VLOOKUP('TCO TO BE- SW'!L$2,MODULY_CBA!$B$3:$L$23,11,0),0),0)</f>
        <v>0</v>
      </c>
      <c r="M128" s="589">
        <f>IFERROR(IF(VLOOKUP(M$2,MODULY_CBA!$B$3:$N$23,13,0)&lt;='TCO TO BE- SW'!$D128,SUM('TCO TO BE- SW'!M$37:M$46)*VLOOKUP('TCO TO BE- SW'!M$2,MODULY_CBA!$B$3:$L$23,11,0),0),0)</f>
        <v>0</v>
      </c>
      <c r="N128" s="589">
        <f>IFERROR(IF(VLOOKUP(N$2,MODULY_CBA!$B$3:$N$23,13,0)&lt;='TCO TO BE- SW'!$D128,SUM('TCO TO BE- SW'!N$37:N$46)*VLOOKUP('TCO TO BE- SW'!N$2,MODULY_CBA!$B$3:$L$23,11,0),0),0)</f>
        <v>0</v>
      </c>
      <c r="O128" s="589">
        <f>IFERROR(IF(VLOOKUP(O$2,MODULY_CBA!$B$3:$N$23,13,0)&lt;='TCO TO BE- SW'!$D128,SUM('TCO TO BE- SW'!O$37:O$46)*VLOOKUP('TCO TO BE- SW'!O$2,MODULY_CBA!$B$3:$L$23,11,0),0),0)</f>
        <v>0</v>
      </c>
      <c r="P128" s="589">
        <f>IFERROR(IF(VLOOKUP(P$2,MODULY_CBA!$B$3:$N$23,13,0)&lt;='TCO TO BE- SW'!$D128,SUM('TCO TO BE- SW'!P$37:P$46)*VLOOKUP('TCO TO BE- SW'!P$2,MODULY_CBA!$B$3:$L$23,11,0),0),0)</f>
        <v>0</v>
      </c>
      <c r="Q128" s="589">
        <f>IFERROR(IF(VLOOKUP(Q$2,MODULY_CBA!$B$3:$N$23,13,0)&lt;='TCO TO BE- SW'!$D128,SUM('TCO TO BE- SW'!Q$37:Q$46)*VLOOKUP('TCO TO BE- SW'!Q$2,MODULY_CBA!$B$3:$L$23,11,0),0),0)</f>
        <v>0</v>
      </c>
      <c r="R128" s="589">
        <f>IFERROR(IF(VLOOKUP(R$2,MODULY_CBA!$B$3:$N$23,13,0)&lt;='TCO TO BE- SW'!$D128,SUM('TCO TO BE- SW'!R$37:R$46)*VLOOKUP('TCO TO BE- SW'!R$2,MODULY_CBA!$B$3:$L$23,11,0),0),0)</f>
        <v>0</v>
      </c>
      <c r="S128" s="589">
        <f>IFERROR(IF(VLOOKUP(S$2,MODULY_CBA!$B$3:$N$23,13,0)&lt;='TCO TO BE- SW'!$D128,SUM('TCO TO BE- SW'!S$37:S$46)*VLOOKUP('TCO TO BE- SW'!S$2,MODULY_CBA!$B$3:$L$23,11,0),0),0)</f>
        <v>0</v>
      </c>
      <c r="T128" s="589">
        <f>IFERROR(IF(VLOOKUP(T$2,MODULY_CBA!$B$3:$N$23,13,0)&lt;='TCO TO BE- SW'!$D128,SUM('TCO TO BE- SW'!T$37:T$46)*VLOOKUP('TCO TO BE- SW'!T$2,MODULY_CBA!$B$3:$L$23,11,0),0),0)</f>
        <v>0</v>
      </c>
      <c r="U128" s="589">
        <f>IFERROR(IF(VLOOKUP(U$2,MODULY_CBA!$B$3:$N$23,13,0)&lt;='TCO TO BE- SW'!$D128,SUM('TCO TO BE- SW'!U$37:U$46)*VLOOKUP('TCO TO BE- SW'!U$2,MODULY_CBA!$B$3:$L$23,11,0),0),0)</f>
        <v>0</v>
      </c>
      <c r="V128" s="589">
        <f>IFERROR(IF(VLOOKUP(V$2,MODULY_CBA!$B$3:$N$23,13,0)&lt;='TCO TO BE- SW'!$D128,SUM('TCO TO BE- SW'!V$37:V$46)*VLOOKUP('TCO TO BE- SW'!V$2,MODULY_CBA!$B$3:$L$23,11,0),0),0)</f>
        <v>0</v>
      </c>
      <c r="W128" s="589">
        <f>IFERROR(IF(VLOOKUP(W$2,MODULY_CBA!$B$3:$N$23,13,0)&lt;='TCO TO BE- SW'!$D128,SUM('TCO TO BE- SW'!W$37:W$46)*VLOOKUP('TCO TO BE- SW'!W$2,MODULY_CBA!$B$3:$L$23,11,0),0),0)</f>
        <v>0</v>
      </c>
      <c r="X128" s="589">
        <f>IFERROR(IF(VLOOKUP(X$2,MODULY_CBA!$B$3:$N$23,13,0)&lt;='TCO TO BE- SW'!$D128,SUM('TCO TO BE- SW'!X$37:X$46)*VLOOKUP('TCO TO BE- SW'!X$2,MODULY_CBA!$B$3:$L$23,11,0),0),0)</f>
        <v>0</v>
      </c>
      <c r="Y128" s="589">
        <f>IFERROR(IF(VLOOKUP(Y$2,MODULY_CBA!$B$3:$N$23,13,0)&lt;='TCO TO BE- SW'!$D128,SUM('TCO TO BE- SW'!Y$37:Y$46)*VLOOKUP('TCO TO BE- SW'!Y$2,MODULY_CBA!$B$3:$L$23,11,0),0),0)</f>
        <v>0</v>
      </c>
      <c r="Z128" s="589">
        <f>IFERROR(IF(VLOOKUP(Z$2,MODULY_CBA!$B$3:$N$23,13,0)&lt;='TCO TO BE- SW'!$D128,SUM('TCO TO BE- SW'!Z$37:Z$46)*VLOOKUP('TCO TO BE- SW'!Z$2,MODULY_CBA!$B$3:$L$23,11,0),0),0)</f>
        <v>0</v>
      </c>
    </row>
    <row r="129" spans="1:27" ht="15.75" outlineLevel="2" thickBot="1">
      <c r="A129" s="824"/>
      <c r="B129" s="825"/>
      <c r="C129" s="825"/>
      <c r="D129" s="65">
        <v>10</v>
      </c>
      <c r="E129" s="69">
        <f t="shared" si="14"/>
        <v>0</v>
      </c>
      <c r="F129" s="589">
        <f>IFERROR(IF(VLOOKUP(F$2,MODULY_CBA!$B$3:$N$23,13,0)&lt;='TCO TO BE- SW'!$D129,SUM('TCO TO BE- SW'!F$37:F$46)*VLOOKUP('TCO TO BE- SW'!F$2,MODULY_CBA!$B$3:$L$23,11,0),0),0)</f>
        <v>0</v>
      </c>
      <c r="G129" s="589">
        <f>IFERROR(IF(VLOOKUP(G$2,MODULY_CBA!$B$3:$N$23,13,0)&lt;='TCO TO BE- SW'!$D129,SUM('TCO TO BE- SW'!G$37:G$46)*VLOOKUP('TCO TO BE- SW'!G$2,MODULY_CBA!$B$3:$L$23,11,0),0),0)</f>
        <v>0</v>
      </c>
      <c r="H129" s="589">
        <f>IFERROR(IF(VLOOKUP(H$2,MODULY_CBA!$B$3:$N$23,13,0)&lt;='TCO TO BE- SW'!$D129,SUM('TCO TO BE- SW'!H$37:H$46)*VLOOKUP('TCO TO BE- SW'!H$2,MODULY_CBA!$B$3:$L$23,11,0),0),0)</f>
        <v>0</v>
      </c>
      <c r="I129" s="589">
        <f>IFERROR(IF(VLOOKUP(I$2,MODULY_CBA!$B$3:$N$23,13,0)&lt;='TCO TO BE- SW'!$D129,SUM('TCO TO BE- SW'!I$37:I$46)*VLOOKUP('TCO TO BE- SW'!I$2,MODULY_CBA!$B$3:$L$23,11,0),0),0)</f>
        <v>0</v>
      </c>
      <c r="J129" s="589">
        <f>IFERROR(IF(VLOOKUP(J$2,MODULY_CBA!$B$3:$N$23,13,0)&lt;='TCO TO BE- SW'!$D129,SUM('TCO TO BE- SW'!J$37:J$46)*VLOOKUP('TCO TO BE- SW'!J$2,MODULY_CBA!$B$3:$L$23,11,0),0),0)</f>
        <v>0</v>
      </c>
      <c r="K129" s="589">
        <f>IFERROR(IF(VLOOKUP(K$2,MODULY_CBA!$B$3:$N$23,13,0)&lt;='TCO TO BE- SW'!$D129,SUM('TCO TO BE- SW'!K$37:K$46)*VLOOKUP('TCO TO BE- SW'!K$2,MODULY_CBA!$B$3:$L$23,11,0),0),0)</f>
        <v>0</v>
      </c>
      <c r="L129" s="589">
        <f>IFERROR(IF(VLOOKUP(L$2,MODULY_CBA!$B$3:$N$23,13,0)&lt;='TCO TO BE- SW'!$D129,SUM('TCO TO BE- SW'!L$37:L$46)*VLOOKUP('TCO TO BE- SW'!L$2,MODULY_CBA!$B$3:$L$23,11,0),0),0)</f>
        <v>0</v>
      </c>
      <c r="M129" s="589">
        <f>IFERROR(IF(VLOOKUP(M$2,MODULY_CBA!$B$3:$N$23,13,0)&lt;='TCO TO BE- SW'!$D129,SUM('TCO TO BE- SW'!M$37:M$46)*VLOOKUP('TCO TO BE- SW'!M$2,MODULY_CBA!$B$3:$L$23,11,0),0),0)</f>
        <v>0</v>
      </c>
      <c r="N129" s="589">
        <f>IFERROR(IF(VLOOKUP(N$2,MODULY_CBA!$B$3:$N$23,13,0)&lt;='TCO TO BE- SW'!$D129,SUM('TCO TO BE- SW'!N$37:N$46)*VLOOKUP('TCO TO BE- SW'!N$2,MODULY_CBA!$B$3:$L$23,11,0),0),0)</f>
        <v>0</v>
      </c>
      <c r="O129" s="589">
        <f>IFERROR(IF(VLOOKUP(O$2,MODULY_CBA!$B$3:$N$23,13,0)&lt;='TCO TO BE- SW'!$D129,SUM('TCO TO BE- SW'!O$37:O$46)*VLOOKUP('TCO TO BE- SW'!O$2,MODULY_CBA!$B$3:$L$23,11,0),0),0)</f>
        <v>0</v>
      </c>
      <c r="P129" s="589">
        <f>IFERROR(IF(VLOOKUP(P$2,MODULY_CBA!$B$3:$N$23,13,0)&lt;='TCO TO BE- SW'!$D129,SUM('TCO TO BE- SW'!P$37:P$46)*VLOOKUP('TCO TO BE- SW'!P$2,MODULY_CBA!$B$3:$L$23,11,0),0),0)</f>
        <v>0</v>
      </c>
      <c r="Q129" s="589">
        <f>IFERROR(IF(VLOOKUP(Q$2,MODULY_CBA!$B$3:$N$23,13,0)&lt;='TCO TO BE- SW'!$D129,SUM('TCO TO BE- SW'!Q$37:Q$46)*VLOOKUP('TCO TO BE- SW'!Q$2,MODULY_CBA!$B$3:$L$23,11,0),0),0)</f>
        <v>0</v>
      </c>
      <c r="R129" s="589">
        <f>IFERROR(IF(VLOOKUP(R$2,MODULY_CBA!$B$3:$N$23,13,0)&lt;='TCO TO BE- SW'!$D129,SUM('TCO TO BE- SW'!R$37:R$46)*VLOOKUP('TCO TO BE- SW'!R$2,MODULY_CBA!$B$3:$L$23,11,0),0),0)</f>
        <v>0</v>
      </c>
      <c r="S129" s="589">
        <f>IFERROR(IF(VLOOKUP(S$2,MODULY_CBA!$B$3:$N$23,13,0)&lt;='TCO TO BE- SW'!$D129,SUM('TCO TO BE- SW'!S$37:S$46)*VLOOKUP('TCO TO BE- SW'!S$2,MODULY_CBA!$B$3:$L$23,11,0),0),0)</f>
        <v>0</v>
      </c>
      <c r="T129" s="589">
        <f>IFERROR(IF(VLOOKUP(T$2,MODULY_CBA!$B$3:$N$23,13,0)&lt;='TCO TO BE- SW'!$D129,SUM('TCO TO BE- SW'!T$37:T$46)*VLOOKUP('TCO TO BE- SW'!T$2,MODULY_CBA!$B$3:$L$23,11,0),0),0)</f>
        <v>0</v>
      </c>
      <c r="U129" s="589">
        <f>IFERROR(IF(VLOOKUP(U$2,MODULY_CBA!$B$3:$N$23,13,0)&lt;='TCO TO BE- SW'!$D129,SUM('TCO TO BE- SW'!U$37:U$46)*VLOOKUP('TCO TO BE- SW'!U$2,MODULY_CBA!$B$3:$L$23,11,0),0),0)</f>
        <v>0</v>
      </c>
      <c r="V129" s="589">
        <f>IFERROR(IF(VLOOKUP(V$2,MODULY_CBA!$B$3:$N$23,13,0)&lt;='TCO TO BE- SW'!$D129,SUM('TCO TO BE- SW'!V$37:V$46)*VLOOKUP('TCO TO BE- SW'!V$2,MODULY_CBA!$B$3:$L$23,11,0),0),0)</f>
        <v>0</v>
      </c>
      <c r="W129" s="589">
        <f>IFERROR(IF(VLOOKUP(W$2,MODULY_CBA!$B$3:$N$23,13,0)&lt;='TCO TO BE- SW'!$D129,SUM('TCO TO BE- SW'!W$37:W$46)*VLOOKUP('TCO TO BE- SW'!W$2,MODULY_CBA!$B$3:$L$23,11,0),0),0)</f>
        <v>0</v>
      </c>
      <c r="X129" s="589">
        <f>IFERROR(IF(VLOOKUP(X$2,MODULY_CBA!$B$3:$N$23,13,0)&lt;='TCO TO BE- SW'!$D129,SUM('TCO TO BE- SW'!X$37:X$46)*VLOOKUP('TCO TO BE- SW'!X$2,MODULY_CBA!$B$3:$L$23,11,0),0),0)</f>
        <v>0</v>
      </c>
      <c r="Y129" s="589">
        <f>IFERROR(IF(VLOOKUP(Y$2,MODULY_CBA!$B$3:$N$23,13,0)&lt;='TCO TO BE- SW'!$D129,SUM('TCO TO BE- SW'!Y$37:Y$46)*VLOOKUP('TCO TO BE- SW'!Y$2,MODULY_CBA!$B$3:$L$23,11,0),0),0)</f>
        <v>0</v>
      </c>
      <c r="Z129" s="589">
        <f>IFERROR(IF(VLOOKUP(Z$2,MODULY_CBA!$B$3:$N$23,13,0)&lt;='TCO TO BE- SW'!$D129,SUM('TCO TO BE- SW'!Z$37:Z$46)*VLOOKUP('TCO TO BE- SW'!Z$2,MODULY_CBA!$B$3:$L$23,11,0),0),0)</f>
        <v>0</v>
      </c>
    </row>
    <row r="130" spans="1:27" outlineLevel="2">
      <c r="A130" s="824" t="s">
        <v>84</v>
      </c>
      <c r="B130" s="825" t="s">
        <v>529</v>
      </c>
      <c r="C130" s="825">
        <v>610</v>
      </c>
      <c r="D130" s="63">
        <v>1</v>
      </c>
      <c r="E130" s="68">
        <f t="shared" si="14"/>
        <v>0</v>
      </c>
      <c r="F130" s="579">
        <v>0</v>
      </c>
      <c r="G130" s="579">
        <v>0</v>
      </c>
      <c r="H130" s="579">
        <v>0</v>
      </c>
      <c r="I130" s="579">
        <v>0</v>
      </c>
      <c r="J130" s="579">
        <v>0</v>
      </c>
      <c r="K130" s="579">
        <v>0</v>
      </c>
      <c r="L130" s="579">
        <v>0</v>
      </c>
      <c r="M130" s="579">
        <v>0</v>
      </c>
      <c r="N130" s="579">
        <v>0</v>
      </c>
      <c r="O130" s="579">
        <v>0</v>
      </c>
      <c r="P130" s="579">
        <v>0</v>
      </c>
      <c r="Q130" s="579">
        <v>0</v>
      </c>
      <c r="R130" s="579">
        <v>0</v>
      </c>
      <c r="S130" s="579">
        <v>0</v>
      </c>
      <c r="T130" s="579">
        <v>0</v>
      </c>
      <c r="U130" s="579">
        <v>0</v>
      </c>
      <c r="V130" s="579">
        <v>0</v>
      </c>
      <c r="W130" s="579">
        <v>0</v>
      </c>
      <c r="X130" s="579">
        <v>0</v>
      </c>
      <c r="Y130" s="579">
        <v>0</v>
      </c>
      <c r="Z130" s="579">
        <v>0</v>
      </c>
    </row>
    <row r="131" spans="1:27" outlineLevel="2">
      <c r="A131" s="824"/>
      <c r="B131" s="825"/>
      <c r="C131" s="825"/>
      <c r="D131" s="64">
        <v>2</v>
      </c>
      <c r="E131" s="68">
        <f t="shared" si="14"/>
        <v>0</v>
      </c>
      <c r="F131" s="580">
        <v>0</v>
      </c>
      <c r="G131" s="580">
        <v>0</v>
      </c>
      <c r="H131" s="580">
        <v>0</v>
      </c>
      <c r="I131" s="580">
        <v>0</v>
      </c>
      <c r="J131" s="580">
        <v>0</v>
      </c>
      <c r="K131" s="580">
        <v>0</v>
      </c>
      <c r="L131" s="580">
        <v>0</v>
      </c>
      <c r="M131" s="580">
        <v>0</v>
      </c>
      <c r="N131" s="580">
        <v>0</v>
      </c>
      <c r="O131" s="580">
        <v>0</v>
      </c>
      <c r="P131" s="580">
        <v>0</v>
      </c>
      <c r="Q131" s="580">
        <v>0</v>
      </c>
      <c r="R131" s="580">
        <v>0</v>
      </c>
      <c r="S131" s="580">
        <v>0</v>
      </c>
      <c r="T131" s="580">
        <v>0</v>
      </c>
      <c r="U131" s="580">
        <v>0</v>
      </c>
      <c r="V131" s="580">
        <v>0</v>
      </c>
      <c r="W131" s="580">
        <v>0</v>
      </c>
      <c r="X131" s="580">
        <v>0</v>
      </c>
      <c r="Y131" s="580">
        <v>0</v>
      </c>
      <c r="Z131" s="580">
        <v>0</v>
      </c>
    </row>
    <row r="132" spans="1:27" outlineLevel="2">
      <c r="A132" s="824"/>
      <c r="B132" s="825"/>
      <c r="C132" s="825"/>
      <c r="D132" s="64">
        <v>3</v>
      </c>
      <c r="E132" s="68">
        <f t="shared" si="14"/>
        <v>0</v>
      </c>
      <c r="F132" s="580">
        <v>0</v>
      </c>
      <c r="G132" s="580">
        <v>0</v>
      </c>
      <c r="H132" s="580">
        <v>0</v>
      </c>
      <c r="I132" s="580">
        <v>0</v>
      </c>
      <c r="J132" s="580">
        <v>0</v>
      </c>
      <c r="K132" s="580">
        <v>0</v>
      </c>
      <c r="L132" s="580">
        <v>0</v>
      </c>
      <c r="M132" s="580">
        <v>0</v>
      </c>
      <c r="N132" s="580">
        <v>0</v>
      </c>
      <c r="O132" s="580">
        <v>0</v>
      </c>
      <c r="P132" s="580">
        <v>0</v>
      </c>
      <c r="Q132" s="580">
        <v>0</v>
      </c>
      <c r="R132" s="580">
        <v>0</v>
      </c>
      <c r="S132" s="580">
        <v>0</v>
      </c>
      <c r="T132" s="580">
        <v>0</v>
      </c>
      <c r="U132" s="580">
        <v>0</v>
      </c>
      <c r="V132" s="580">
        <v>0</v>
      </c>
      <c r="W132" s="580">
        <v>0</v>
      </c>
      <c r="X132" s="580">
        <v>0</v>
      </c>
      <c r="Y132" s="580">
        <v>0</v>
      </c>
      <c r="Z132" s="580">
        <v>0</v>
      </c>
    </row>
    <row r="133" spans="1:27" outlineLevel="2">
      <c r="A133" s="824"/>
      <c r="B133" s="825"/>
      <c r="C133" s="825"/>
      <c r="D133" s="64">
        <v>4</v>
      </c>
      <c r="E133" s="68">
        <f t="shared" si="14"/>
        <v>0</v>
      </c>
      <c r="F133" s="580">
        <v>0</v>
      </c>
      <c r="G133" s="580">
        <v>0</v>
      </c>
      <c r="H133" s="580">
        <v>0</v>
      </c>
      <c r="I133" s="580">
        <v>0</v>
      </c>
      <c r="J133" s="580">
        <v>0</v>
      </c>
      <c r="K133" s="580">
        <v>0</v>
      </c>
      <c r="L133" s="580">
        <v>0</v>
      </c>
      <c r="M133" s="580">
        <v>0</v>
      </c>
      <c r="N133" s="580">
        <v>0</v>
      </c>
      <c r="O133" s="580">
        <v>0</v>
      </c>
      <c r="P133" s="580">
        <v>0</v>
      </c>
      <c r="Q133" s="580">
        <v>0</v>
      </c>
      <c r="R133" s="580">
        <v>0</v>
      </c>
      <c r="S133" s="580">
        <v>0</v>
      </c>
      <c r="T133" s="580">
        <v>0</v>
      </c>
      <c r="U133" s="580">
        <v>0</v>
      </c>
      <c r="V133" s="580">
        <v>0</v>
      </c>
      <c r="W133" s="580">
        <v>0</v>
      </c>
      <c r="X133" s="580">
        <v>0</v>
      </c>
      <c r="Y133" s="580">
        <v>0</v>
      </c>
      <c r="Z133" s="580">
        <v>0</v>
      </c>
    </row>
    <row r="134" spans="1:27" outlineLevel="2">
      <c r="A134" s="824"/>
      <c r="B134" s="825"/>
      <c r="C134" s="825"/>
      <c r="D134" s="64">
        <v>5</v>
      </c>
      <c r="E134" s="68">
        <f t="shared" si="14"/>
        <v>0</v>
      </c>
      <c r="F134" s="580">
        <v>0</v>
      </c>
      <c r="G134" s="580">
        <v>0</v>
      </c>
      <c r="H134" s="580">
        <v>0</v>
      </c>
      <c r="I134" s="580">
        <v>0</v>
      </c>
      <c r="J134" s="580">
        <v>0</v>
      </c>
      <c r="K134" s="580">
        <v>0</v>
      </c>
      <c r="L134" s="580">
        <v>0</v>
      </c>
      <c r="M134" s="580">
        <v>0</v>
      </c>
      <c r="N134" s="580">
        <v>0</v>
      </c>
      <c r="O134" s="580">
        <v>0</v>
      </c>
      <c r="P134" s="580">
        <v>0</v>
      </c>
      <c r="Q134" s="580">
        <v>0</v>
      </c>
      <c r="R134" s="580">
        <v>0</v>
      </c>
      <c r="S134" s="580">
        <v>0</v>
      </c>
      <c r="T134" s="580">
        <v>0</v>
      </c>
      <c r="U134" s="580">
        <v>0</v>
      </c>
      <c r="V134" s="580">
        <v>0</v>
      </c>
      <c r="W134" s="580">
        <v>0</v>
      </c>
      <c r="X134" s="580">
        <v>0</v>
      </c>
      <c r="Y134" s="580">
        <v>0</v>
      </c>
      <c r="Z134" s="580">
        <v>0</v>
      </c>
    </row>
    <row r="135" spans="1:27" outlineLevel="2">
      <c r="A135" s="824"/>
      <c r="B135" s="825"/>
      <c r="C135" s="825"/>
      <c r="D135" s="64">
        <v>6</v>
      </c>
      <c r="E135" s="68">
        <f t="shared" si="14"/>
        <v>0</v>
      </c>
      <c r="F135" s="580">
        <v>0</v>
      </c>
      <c r="G135" s="580">
        <v>0</v>
      </c>
      <c r="H135" s="580">
        <v>0</v>
      </c>
      <c r="I135" s="580">
        <v>0</v>
      </c>
      <c r="J135" s="580">
        <v>0</v>
      </c>
      <c r="K135" s="580">
        <v>0</v>
      </c>
      <c r="L135" s="580">
        <v>0</v>
      </c>
      <c r="M135" s="580">
        <v>0</v>
      </c>
      <c r="N135" s="580">
        <v>0</v>
      </c>
      <c r="O135" s="580">
        <v>0</v>
      </c>
      <c r="P135" s="580">
        <v>0</v>
      </c>
      <c r="Q135" s="580">
        <v>0</v>
      </c>
      <c r="R135" s="580">
        <v>0</v>
      </c>
      <c r="S135" s="580">
        <v>0</v>
      </c>
      <c r="T135" s="580">
        <v>0</v>
      </c>
      <c r="U135" s="580">
        <v>0</v>
      </c>
      <c r="V135" s="580">
        <v>0</v>
      </c>
      <c r="W135" s="580">
        <v>0</v>
      </c>
      <c r="X135" s="580">
        <v>0</v>
      </c>
      <c r="Y135" s="580">
        <v>0</v>
      </c>
      <c r="Z135" s="580">
        <v>0</v>
      </c>
    </row>
    <row r="136" spans="1:27" outlineLevel="2">
      <c r="A136" s="824"/>
      <c r="B136" s="825"/>
      <c r="C136" s="825"/>
      <c r="D136" s="64">
        <v>7</v>
      </c>
      <c r="E136" s="68">
        <f t="shared" si="14"/>
        <v>0</v>
      </c>
      <c r="F136" s="580">
        <v>0</v>
      </c>
      <c r="G136" s="580">
        <v>0</v>
      </c>
      <c r="H136" s="580">
        <v>0</v>
      </c>
      <c r="I136" s="580">
        <v>0</v>
      </c>
      <c r="J136" s="580">
        <v>0</v>
      </c>
      <c r="K136" s="580">
        <v>0</v>
      </c>
      <c r="L136" s="580">
        <v>0</v>
      </c>
      <c r="M136" s="580">
        <v>0</v>
      </c>
      <c r="N136" s="580">
        <v>0</v>
      </c>
      <c r="O136" s="580">
        <v>0</v>
      </c>
      <c r="P136" s="580">
        <v>0</v>
      </c>
      <c r="Q136" s="580">
        <v>0</v>
      </c>
      <c r="R136" s="580">
        <v>0</v>
      </c>
      <c r="S136" s="580">
        <v>0</v>
      </c>
      <c r="T136" s="580">
        <v>0</v>
      </c>
      <c r="U136" s="580">
        <v>0</v>
      </c>
      <c r="V136" s="580">
        <v>0</v>
      </c>
      <c r="W136" s="580">
        <v>0</v>
      </c>
      <c r="X136" s="580">
        <v>0</v>
      </c>
      <c r="Y136" s="580">
        <v>0</v>
      </c>
      <c r="Z136" s="580">
        <v>0</v>
      </c>
    </row>
    <row r="137" spans="1:27" outlineLevel="2">
      <c r="A137" s="824"/>
      <c r="B137" s="825"/>
      <c r="C137" s="825"/>
      <c r="D137" s="64">
        <v>8</v>
      </c>
      <c r="E137" s="68">
        <f t="shared" si="14"/>
        <v>0</v>
      </c>
      <c r="F137" s="580">
        <v>0</v>
      </c>
      <c r="G137" s="580">
        <v>0</v>
      </c>
      <c r="H137" s="580">
        <v>0</v>
      </c>
      <c r="I137" s="580">
        <v>0</v>
      </c>
      <c r="J137" s="580">
        <v>0</v>
      </c>
      <c r="K137" s="580">
        <v>0</v>
      </c>
      <c r="L137" s="580">
        <v>0</v>
      </c>
      <c r="M137" s="580">
        <v>0</v>
      </c>
      <c r="N137" s="580">
        <v>0</v>
      </c>
      <c r="O137" s="580">
        <v>0</v>
      </c>
      <c r="P137" s="580">
        <v>0</v>
      </c>
      <c r="Q137" s="580">
        <v>0</v>
      </c>
      <c r="R137" s="580">
        <v>0</v>
      </c>
      <c r="S137" s="580">
        <v>0</v>
      </c>
      <c r="T137" s="580">
        <v>0</v>
      </c>
      <c r="U137" s="580">
        <v>0</v>
      </c>
      <c r="V137" s="580">
        <v>0</v>
      </c>
      <c r="W137" s="580">
        <v>0</v>
      </c>
      <c r="X137" s="580">
        <v>0</v>
      </c>
      <c r="Y137" s="580">
        <v>0</v>
      </c>
      <c r="Z137" s="580">
        <v>0</v>
      </c>
    </row>
    <row r="138" spans="1:27" outlineLevel="2">
      <c r="A138" s="824"/>
      <c r="B138" s="825"/>
      <c r="C138" s="825"/>
      <c r="D138" s="64">
        <v>9</v>
      </c>
      <c r="E138" s="68">
        <f t="shared" si="14"/>
        <v>0</v>
      </c>
      <c r="F138" s="580">
        <v>0</v>
      </c>
      <c r="G138" s="580">
        <v>0</v>
      </c>
      <c r="H138" s="580">
        <v>0</v>
      </c>
      <c r="I138" s="580">
        <v>0</v>
      </c>
      <c r="J138" s="580">
        <v>0</v>
      </c>
      <c r="K138" s="580">
        <v>0</v>
      </c>
      <c r="L138" s="580">
        <v>0</v>
      </c>
      <c r="M138" s="580">
        <v>0</v>
      </c>
      <c r="N138" s="580">
        <v>0</v>
      </c>
      <c r="O138" s="580">
        <v>0</v>
      </c>
      <c r="P138" s="580">
        <v>0</v>
      </c>
      <c r="Q138" s="580">
        <v>0</v>
      </c>
      <c r="R138" s="580">
        <v>0</v>
      </c>
      <c r="S138" s="580">
        <v>0</v>
      </c>
      <c r="T138" s="580">
        <v>0</v>
      </c>
      <c r="U138" s="580">
        <v>0</v>
      </c>
      <c r="V138" s="580">
        <v>0</v>
      </c>
      <c r="W138" s="580">
        <v>0</v>
      </c>
      <c r="X138" s="580">
        <v>0</v>
      </c>
      <c r="Y138" s="580">
        <v>0</v>
      </c>
      <c r="Z138" s="580">
        <v>0</v>
      </c>
    </row>
    <row r="139" spans="1:27" ht="15.75" outlineLevel="2" thickBot="1">
      <c r="A139" s="824"/>
      <c r="B139" s="825"/>
      <c r="C139" s="825"/>
      <c r="D139" s="65">
        <v>10</v>
      </c>
      <c r="E139" s="69">
        <f t="shared" si="14"/>
        <v>0</v>
      </c>
      <c r="F139" s="580">
        <v>0</v>
      </c>
      <c r="G139" s="580">
        <v>0</v>
      </c>
      <c r="H139" s="580">
        <v>0</v>
      </c>
      <c r="I139" s="580">
        <v>0</v>
      </c>
      <c r="J139" s="580">
        <v>0</v>
      </c>
      <c r="K139" s="580">
        <v>0</v>
      </c>
      <c r="L139" s="580">
        <v>0</v>
      </c>
      <c r="M139" s="580">
        <v>0</v>
      </c>
      <c r="N139" s="580">
        <v>0</v>
      </c>
      <c r="O139" s="580">
        <v>0</v>
      </c>
      <c r="P139" s="580">
        <v>0</v>
      </c>
      <c r="Q139" s="580">
        <v>0</v>
      </c>
      <c r="R139" s="580">
        <v>0</v>
      </c>
      <c r="S139" s="580">
        <v>0</v>
      </c>
      <c r="T139" s="580">
        <v>0</v>
      </c>
      <c r="U139" s="580">
        <v>0</v>
      </c>
      <c r="V139" s="580">
        <v>0</v>
      </c>
      <c r="W139" s="580">
        <v>0</v>
      </c>
      <c r="X139" s="580">
        <v>0</v>
      </c>
      <c r="Y139" s="580">
        <v>0</v>
      </c>
      <c r="Z139" s="580">
        <v>0</v>
      </c>
      <c r="AA139" s="364"/>
    </row>
    <row r="140" spans="1:27" outlineLevel="2">
      <c r="A140" s="824" t="s">
        <v>75</v>
      </c>
      <c r="B140" s="825" t="s">
        <v>76</v>
      </c>
      <c r="C140" s="825">
        <v>637040</v>
      </c>
      <c r="D140" s="63">
        <v>1</v>
      </c>
      <c r="E140" s="68">
        <f t="shared" si="14"/>
        <v>0</v>
      </c>
      <c r="F140" s="579">
        <v>0</v>
      </c>
      <c r="G140" s="579">
        <v>0</v>
      </c>
      <c r="H140" s="579">
        <v>0</v>
      </c>
      <c r="I140" s="579">
        <v>0</v>
      </c>
      <c r="J140" s="579">
        <v>0</v>
      </c>
      <c r="K140" s="579">
        <v>0</v>
      </c>
      <c r="L140" s="579">
        <v>0</v>
      </c>
      <c r="M140" s="579">
        <v>0</v>
      </c>
      <c r="N140" s="579">
        <v>0</v>
      </c>
      <c r="O140" s="579">
        <v>0</v>
      </c>
      <c r="P140" s="579">
        <v>0</v>
      </c>
      <c r="Q140" s="579">
        <v>0</v>
      </c>
      <c r="R140" s="579">
        <v>0</v>
      </c>
      <c r="S140" s="579">
        <v>0</v>
      </c>
      <c r="T140" s="579">
        <v>0</v>
      </c>
      <c r="U140" s="579">
        <v>0</v>
      </c>
      <c r="V140" s="579">
        <v>0</v>
      </c>
      <c r="W140" s="579">
        <v>0</v>
      </c>
      <c r="X140" s="579">
        <v>0</v>
      </c>
      <c r="Y140" s="579">
        <v>0</v>
      </c>
      <c r="Z140" s="579">
        <v>0</v>
      </c>
    </row>
    <row r="141" spans="1:27" outlineLevel="2">
      <c r="A141" s="824"/>
      <c r="B141" s="825"/>
      <c r="C141" s="825"/>
      <c r="D141" s="64">
        <v>2</v>
      </c>
      <c r="E141" s="68">
        <f t="shared" si="14"/>
        <v>0</v>
      </c>
      <c r="F141" s="580">
        <v>0</v>
      </c>
      <c r="G141" s="580">
        <v>0</v>
      </c>
      <c r="H141" s="580">
        <v>0</v>
      </c>
      <c r="I141" s="580">
        <v>0</v>
      </c>
      <c r="J141" s="580">
        <v>0</v>
      </c>
      <c r="K141" s="580">
        <v>0</v>
      </c>
      <c r="L141" s="580">
        <v>0</v>
      </c>
      <c r="M141" s="580">
        <v>0</v>
      </c>
      <c r="N141" s="580">
        <v>0</v>
      </c>
      <c r="O141" s="580">
        <v>0</v>
      </c>
      <c r="P141" s="580">
        <v>0</v>
      </c>
      <c r="Q141" s="580">
        <v>0</v>
      </c>
      <c r="R141" s="580">
        <v>0</v>
      </c>
      <c r="S141" s="580">
        <v>0</v>
      </c>
      <c r="T141" s="580">
        <v>0</v>
      </c>
      <c r="U141" s="580">
        <v>0</v>
      </c>
      <c r="V141" s="580">
        <v>0</v>
      </c>
      <c r="W141" s="580">
        <v>0</v>
      </c>
      <c r="X141" s="580">
        <v>0</v>
      </c>
      <c r="Y141" s="580">
        <v>0</v>
      </c>
      <c r="Z141" s="580">
        <v>0</v>
      </c>
    </row>
    <row r="142" spans="1:27" outlineLevel="2">
      <c r="A142" s="824"/>
      <c r="B142" s="825"/>
      <c r="C142" s="825"/>
      <c r="D142" s="64">
        <v>3</v>
      </c>
      <c r="E142" s="68">
        <f t="shared" si="14"/>
        <v>0</v>
      </c>
      <c r="F142" s="580">
        <v>0</v>
      </c>
      <c r="G142" s="580">
        <v>0</v>
      </c>
      <c r="H142" s="580">
        <v>0</v>
      </c>
      <c r="I142" s="580">
        <v>0</v>
      </c>
      <c r="J142" s="580">
        <v>0</v>
      </c>
      <c r="K142" s="580">
        <v>0</v>
      </c>
      <c r="L142" s="580">
        <v>0</v>
      </c>
      <c r="M142" s="580">
        <v>0</v>
      </c>
      <c r="N142" s="580">
        <v>0</v>
      </c>
      <c r="O142" s="580">
        <v>0</v>
      </c>
      <c r="P142" s="580">
        <v>0</v>
      </c>
      <c r="Q142" s="580">
        <v>0</v>
      </c>
      <c r="R142" s="580">
        <v>0</v>
      </c>
      <c r="S142" s="580">
        <v>0</v>
      </c>
      <c r="T142" s="580">
        <v>0</v>
      </c>
      <c r="U142" s="580">
        <v>0</v>
      </c>
      <c r="V142" s="580">
        <v>0</v>
      </c>
      <c r="W142" s="580">
        <v>0</v>
      </c>
      <c r="X142" s="580">
        <v>0</v>
      </c>
      <c r="Y142" s="580">
        <v>0</v>
      </c>
      <c r="Z142" s="580">
        <v>0</v>
      </c>
    </row>
    <row r="143" spans="1:27" outlineLevel="2">
      <c r="A143" s="824"/>
      <c r="B143" s="825"/>
      <c r="C143" s="825"/>
      <c r="D143" s="64">
        <v>4</v>
      </c>
      <c r="E143" s="68">
        <f t="shared" si="14"/>
        <v>0</v>
      </c>
      <c r="F143" s="580">
        <v>0</v>
      </c>
      <c r="G143" s="580">
        <v>0</v>
      </c>
      <c r="H143" s="580">
        <v>0</v>
      </c>
      <c r="I143" s="580">
        <v>0</v>
      </c>
      <c r="J143" s="580">
        <v>0</v>
      </c>
      <c r="K143" s="580">
        <v>0</v>
      </c>
      <c r="L143" s="580">
        <v>0</v>
      </c>
      <c r="M143" s="580">
        <v>0</v>
      </c>
      <c r="N143" s="580">
        <v>0</v>
      </c>
      <c r="O143" s="580">
        <v>0</v>
      </c>
      <c r="P143" s="580">
        <v>0</v>
      </c>
      <c r="Q143" s="580">
        <v>0</v>
      </c>
      <c r="R143" s="580">
        <v>0</v>
      </c>
      <c r="S143" s="580">
        <v>0</v>
      </c>
      <c r="T143" s="580">
        <v>0</v>
      </c>
      <c r="U143" s="580">
        <v>0</v>
      </c>
      <c r="V143" s="580">
        <v>0</v>
      </c>
      <c r="W143" s="580">
        <v>0</v>
      </c>
      <c r="X143" s="580">
        <v>0</v>
      </c>
      <c r="Y143" s="580">
        <v>0</v>
      </c>
      <c r="Z143" s="580">
        <v>0</v>
      </c>
    </row>
    <row r="144" spans="1:27" outlineLevel="2">
      <c r="A144" s="824"/>
      <c r="B144" s="825"/>
      <c r="C144" s="825"/>
      <c r="D144" s="64">
        <v>5</v>
      </c>
      <c r="E144" s="68">
        <f t="shared" si="14"/>
        <v>0</v>
      </c>
      <c r="F144" s="580">
        <v>0</v>
      </c>
      <c r="G144" s="580">
        <v>0</v>
      </c>
      <c r="H144" s="580">
        <v>0</v>
      </c>
      <c r="I144" s="580">
        <v>0</v>
      </c>
      <c r="J144" s="580">
        <v>0</v>
      </c>
      <c r="K144" s="580">
        <v>0</v>
      </c>
      <c r="L144" s="580">
        <v>0</v>
      </c>
      <c r="M144" s="580">
        <v>0</v>
      </c>
      <c r="N144" s="580">
        <v>0</v>
      </c>
      <c r="O144" s="580">
        <v>0</v>
      </c>
      <c r="P144" s="580">
        <v>0</v>
      </c>
      <c r="Q144" s="580">
        <v>0</v>
      </c>
      <c r="R144" s="580">
        <v>0</v>
      </c>
      <c r="S144" s="580">
        <v>0</v>
      </c>
      <c r="T144" s="580">
        <v>0</v>
      </c>
      <c r="U144" s="580">
        <v>0</v>
      </c>
      <c r="V144" s="580">
        <v>0</v>
      </c>
      <c r="W144" s="580">
        <v>0</v>
      </c>
      <c r="X144" s="580">
        <v>0</v>
      </c>
      <c r="Y144" s="580">
        <v>0</v>
      </c>
      <c r="Z144" s="580">
        <v>0</v>
      </c>
    </row>
    <row r="145" spans="1:26" outlineLevel="2">
      <c r="A145" s="824"/>
      <c r="B145" s="825"/>
      <c r="C145" s="825"/>
      <c r="D145" s="64">
        <v>6</v>
      </c>
      <c r="E145" s="68">
        <f t="shared" si="14"/>
        <v>0</v>
      </c>
      <c r="F145" s="580">
        <v>0</v>
      </c>
      <c r="G145" s="580">
        <v>0</v>
      </c>
      <c r="H145" s="580">
        <v>0</v>
      </c>
      <c r="I145" s="580">
        <v>0</v>
      </c>
      <c r="J145" s="580">
        <v>0</v>
      </c>
      <c r="K145" s="580">
        <v>0</v>
      </c>
      <c r="L145" s="580">
        <v>0</v>
      </c>
      <c r="M145" s="580">
        <v>0</v>
      </c>
      <c r="N145" s="580">
        <v>0</v>
      </c>
      <c r="O145" s="580">
        <v>0</v>
      </c>
      <c r="P145" s="580">
        <v>0</v>
      </c>
      <c r="Q145" s="580">
        <v>0</v>
      </c>
      <c r="R145" s="580">
        <v>0</v>
      </c>
      <c r="S145" s="580">
        <v>0</v>
      </c>
      <c r="T145" s="580">
        <v>0</v>
      </c>
      <c r="U145" s="580">
        <v>0</v>
      </c>
      <c r="V145" s="580">
        <v>0</v>
      </c>
      <c r="W145" s="580">
        <v>0</v>
      </c>
      <c r="X145" s="580">
        <v>0</v>
      </c>
      <c r="Y145" s="580">
        <v>0</v>
      </c>
      <c r="Z145" s="580">
        <v>0</v>
      </c>
    </row>
    <row r="146" spans="1:26" outlineLevel="2">
      <c r="A146" s="824"/>
      <c r="B146" s="825"/>
      <c r="C146" s="825"/>
      <c r="D146" s="64">
        <v>7</v>
      </c>
      <c r="E146" s="68">
        <f t="shared" si="14"/>
        <v>0</v>
      </c>
      <c r="F146" s="580">
        <v>0</v>
      </c>
      <c r="G146" s="580">
        <v>0</v>
      </c>
      <c r="H146" s="580">
        <v>0</v>
      </c>
      <c r="I146" s="580">
        <v>0</v>
      </c>
      <c r="J146" s="580">
        <v>0</v>
      </c>
      <c r="K146" s="580">
        <v>0</v>
      </c>
      <c r="L146" s="580">
        <v>0</v>
      </c>
      <c r="M146" s="580">
        <v>0</v>
      </c>
      <c r="N146" s="580">
        <v>0</v>
      </c>
      <c r="O146" s="580">
        <v>0</v>
      </c>
      <c r="P146" s="580">
        <v>0</v>
      </c>
      <c r="Q146" s="580">
        <v>0</v>
      </c>
      <c r="R146" s="580">
        <v>0</v>
      </c>
      <c r="S146" s="580">
        <v>0</v>
      </c>
      <c r="T146" s="580">
        <v>0</v>
      </c>
      <c r="U146" s="580">
        <v>0</v>
      </c>
      <c r="V146" s="580">
        <v>0</v>
      </c>
      <c r="W146" s="580">
        <v>0</v>
      </c>
      <c r="X146" s="580">
        <v>0</v>
      </c>
      <c r="Y146" s="580">
        <v>0</v>
      </c>
      <c r="Z146" s="580">
        <v>0</v>
      </c>
    </row>
    <row r="147" spans="1:26" outlineLevel="2">
      <c r="A147" s="824"/>
      <c r="B147" s="825"/>
      <c r="C147" s="825"/>
      <c r="D147" s="64">
        <v>8</v>
      </c>
      <c r="E147" s="68">
        <f t="shared" si="14"/>
        <v>0</v>
      </c>
      <c r="F147" s="580">
        <v>0</v>
      </c>
      <c r="G147" s="580">
        <v>0</v>
      </c>
      <c r="H147" s="580">
        <v>0</v>
      </c>
      <c r="I147" s="580">
        <v>0</v>
      </c>
      <c r="J147" s="580">
        <v>0</v>
      </c>
      <c r="K147" s="580">
        <v>0</v>
      </c>
      <c r="L147" s="580">
        <v>0</v>
      </c>
      <c r="M147" s="580">
        <v>0</v>
      </c>
      <c r="N147" s="580">
        <v>0</v>
      </c>
      <c r="O147" s="580">
        <v>0</v>
      </c>
      <c r="P147" s="580">
        <v>0</v>
      </c>
      <c r="Q147" s="580">
        <v>0</v>
      </c>
      <c r="R147" s="580">
        <v>0</v>
      </c>
      <c r="S147" s="580">
        <v>0</v>
      </c>
      <c r="T147" s="580">
        <v>0</v>
      </c>
      <c r="U147" s="580">
        <v>0</v>
      </c>
      <c r="V147" s="580">
        <v>0</v>
      </c>
      <c r="W147" s="580">
        <v>0</v>
      </c>
      <c r="X147" s="580">
        <v>0</v>
      </c>
      <c r="Y147" s="580">
        <v>0</v>
      </c>
      <c r="Z147" s="580">
        <v>0</v>
      </c>
    </row>
    <row r="148" spans="1:26" outlineLevel="2">
      <c r="A148" s="824"/>
      <c r="B148" s="825"/>
      <c r="C148" s="825"/>
      <c r="D148" s="64">
        <v>9</v>
      </c>
      <c r="E148" s="68">
        <f t="shared" si="14"/>
        <v>0</v>
      </c>
      <c r="F148" s="580">
        <v>0</v>
      </c>
      <c r="G148" s="580">
        <v>0</v>
      </c>
      <c r="H148" s="580">
        <v>0</v>
      </c>
      <c r="I148" s="580">
        <v>0</v>
      </c>
      <c r="J148" s="580">
        <v>0</v>
      </c>
      <c r="K148" s="580">
        <v>0</v>
      </c>
      <c r="L148" s="580">
        <v>0</v>
      </c>
      <c r="M148" s="580">
        <v>0</v>
      </c>
      <c r="N148" s="580">
        <v>0</v>
      </c>
      <c r="O148" s="580">
        <v>0</v>
      </c>
      <c r="P148" s="580">
        <v>0</v>
      </c>
      <c r="Q148" s="580">
        <v>0</v>
      </c>
      <c r="R148" s="580">
        <v>0</v>
      </c>
      <c r="S148" s="580">
        <v>0</v>
      </c>
      <c r="T148" s="580">
        <v>0</v>
      </c>
      <c r="U148" s="580">
        <v>0</v>
      </c>
      <c r="V148" s="580">
        <v>0</v>
      </c>
      <c r="W148" s="580">
        <v>0</v>
      </c>
      <c r="X148" s="580">
        <v>0</v>
      </c>
      <c r="Y148" s="580">
        <v>0</v>
      </c>
      <c r="Z148" s="580">
        <v>0</v>
      </c>
    </row>
    <row r="149" spans="1:26" ht="15.75" outlineLevel="2" thickBot="1">
      <c r="A149" s="824"/>
      <c r="B149" s="825"/>
      <c r="C149" s="825"/>
      <c r="D149" s="65">
        <v>10</v>
      </c>
      <c r="E149" s="69">
        <f t="shared" si="14"/>
        <v>0</v>
      </c>
      <c r="F149" s="584">
        <v>0</v>
      </c>
      <c r="G149" s="584">
        <v>0</v>
      </c>
      <c r="H149" s="584">
        <v>0</v>
      </c>
      <c r="I149" s="584">
        <v>0</v>
      </c>
      <c r="J149" s="584">
        <v>0</v>
      </c>
      <c r="K149" s="584">
        <v>0</v>
      </c>
      <c r="L149" s="584">
        <v>0</v>
      </c>
      <c r="M149" s="584">
        <v>0</v>
      </c>
      <c r="N149" s="584">
        <v>0</v>
      </c>
      <c r="O149" s="584">
        <v>0</v>
      </c>
      <c r="P149" s="584">
        <v>0</v>
      </c>
      <c r="Q149" s="584">
        <v>0</v>
      </c>
      <c r="R149" s="584">
        <v>0</v>
      </c>
      <c r="S149" s="584">
        <v>0</v>
      </c>
      <c r="T149" s="584">
        <v>0</v>
      </c>
      <c r="U149" s="584">
        <v>0</v>
      </c>
      <c r="V149" s="584">
        <v>0</v>
      </c>
      <c r="W149" s="584">
        <v>0</v>
      </c>
      <c r="X149" s="584">
        <v>0</v>
      </c>
      <c r="Y149" s="584">
        <v>0</v>
      </c>
      <c r="Z149" s="584">
        <v>0</v>
      </c>
    </row>
    <row r="150" spans="1:26" ht="15.75" thickBot="1">
      <c r="A150" s="17" t="s">
        <v>234</v>
      </c>
      <c r="B150" s="17"/>
      <c r="C150" s="17"/>
      <c r="D150" s="27"/>
      <c r="E150" s="110">
        <f t="shared" ref="E150:Z150" si="15">SUM(E151:E170)</f>
        <v>13104</v>
      </c>
      <c r="F150" s="111">
        <f t="shared" si="15"/>
        <v>8102.4341262196886</v>
      </c>
      <c r="G150" s="111">
        <f t="shared" si="15"/>
        <v>719.47894138933259</v>
      </c>
      <c r="H150" s="111">
        <f t="shared" si="15"/>
        <v>3818.8465754459921</v>
      </c>
      <c r="I150" s="111">
        <f t="shared" si="15"/>
        <v>463.24035694498667</v>
      </c>
      <c r="J150" s="111">
        <f t="shared" si="15"/>
        <v>0</v>
      </c>
      <c r="K150" s="111">
        <f t="shared" si="15"/>
        <v>0</v>
      </c>
      <c r="L150" s="111">
        <f t="shared" si="15"/>
        <v>0</v>
      </c>
      <c r="M150" s="111">
        <f t="shared" si="15"/>
        <v>0</v>
      </c>
      <c r="N150" s="111">
        <f t="shared" si="15"/>
        <v>0</v>
      </c>
      <c r="O150" s="111">
        <f t="shared" si="15"/>
        <v>0</v>
      </c>
      <c r="P150" s="111">
        <f t="shared" si="15"/>
        <v>0</v>
      </c>
      <c r="Q150" s="111">
        <f t="shared" si="15"/>
        <v>0</v>
      </c>
      <c r="R150" s="111">
        <f t="shared" si="15"/>
        <v>0</v>
      </c>
      <c r="S150" s="111">
        <f t="shared" si="15"/>
        <v>0</v>
      </c>
      <c r="T150" s="111">
        <f t="shared" si="15"/>
        <v>0</v>
      </c>
      <c r="U150" s="111">
        <f t="shared" si="15"/>
        <v>0</v>
      </c>
      <c r="V150" s="111">
        <f t="shared" si="15"/>
        <v>0</v>
      </c>
      <c r="W150" s="111">
        <f t="shared" si="15"/>
        <v>0</v>
      </c>
      <c r="X150" s="111">
        <f t="shared" si="15"/>
        <v>0</v>
      </c>
      <c r="Y150" s="111">
        <f t="shared" si="15"/>
        <v>0</v>
      </c>
      <c r="Z150" s="111">
        <f t="shared" si="15"/>
        <v>0</v>
      </c>
    </row>
    <row r="151" spans="1:26">
      <c r="A151" s="824" t="s">
        <v>235</v>
      </c>
      <c r="B151" s="825"/>
      <c r="C151" s="825"/>
      <c r="D151" s="63">
        <v>1</v>
      </c>
      <c r="E151" s="67">
        <f t="shared" ref="E151:E170" si="16">SUM(F151:Z151)</f>
        <v>11232</v>
      </c>
      <c r="F151" s="576">
        <f>IFERROR(IF((POZICIE_INTERNE!$B$40-12*('TCO TO BE- SW'!$D151-1))&gt;12,((F$4+'TCO TO BE - HW'!F$4)/($E$4+'TCO TO BE - HW'!$E$4)*SUM(POZICIE_INTERNE!$I$40:$I$51))/POZICIE_INTERNE!$B$40*12,IF((POZICIE_INTERNE!$B$40-12*('TCO TO BE- SW'!$D151-1))&lt;0,0,(POZICIE_INTERNE!$B$40-12*('TCO TO BE- SW'!$D151-1))*((F$4+'TCO TO BE - HW'!F$4)/($E$4+'TCO TO BE - HW'!$E$4)*SUM(POZICIE_INTERNE!$I$40:$I$51))/POZICIE_INTERNE!$B$40)),0)+IFERROR(IF((AKTIVITY_POZICIE!$B$41-12*('TCO TO BE- SW'!$D151-1))&gt;12,((F$4+'TCO TO BE - HW'!F$4)/($E$4+'TCO TO BE - HW'!$E$4)*SUM(AKTIVITY_POZICIE!$M$41:$M$52)*1.2)/AKTIVITY_POZICIE!$B$41*12,IF((AKTIVITY_POZICIE!$B$41-12*('TCO TO BE- SW'!$D151-1))&lt;0,0,(AKTIVITY_POZICIE!$B$41-12*('TCO TO BE- SW'!$D151-1))*((F$4+'TCO TO BE - HW'!F$4)/($E$4+'TCO TO BE - HW'!$E$4)*SUM(AKTIVITY_POZICIE!$M$41:$M$52)*1.2)/AKTIVITY_POZICIE!$B$41)),0)+IFERROR(SUM(#REF!)*'TCO TO BE- SW'!F$4/'TCO TO BE- SW'!$E$4,0)</f>
        <v>6944.9435367597334</v>
      </c>
      <c r="G151" s="576">
        <f>IFERROR(IF((POZICIE_INTERNE!$B$40-12*('TCO TO BE- SW'!$D151-1))&gt;12,((G$4+'TCO TO BE - HW'!G$4)/($E$4+'TCO TO BE - HW'!$E$4)*SUM(POZICIE_INTERNE!$I$40:$I$51))/POZICIE_INTERNE!$B$40*12,IF((POZICIE_INTERNE!$B$40-12*('TCO TO BE- SW'!$D151-1))&lt;0,0,(POZICIE_INTERNE!$B$40-12*('TCO TO BE- SW'!$D151-1))*((G$4+'TCO TO BE - HW'!G$4)/($E$4+'TCO TO BE - HW'!$E$4)*SUM(POZICIE_INTERNE!$I$40:$I$51))/POZICIE_INTERNE!$B$40)),0)+IFERROR(IF((AKTIVITY_POZICIE!$B$41-12*('TCO TO BE- SW'!$D151-1))&gt;12,((G$4+'TCO TO BE - HW'!G$4)/($E$4+'TCO TO BE - HW'!$E$4)*SUM(AKTIVITY_POZICIE!$M$41:$M$52)*1.2)/AKTIVITY_POZICIE!$B$41*12,IF((AKTIVITY_POZICIE!$B$41-12*('TCO TO BE- SW'!$D151-1))&lt;0,0,(AKTIVITY_POZICIE!$B$41-12*('TCO TO BE- SW'!$D151-1))*((G$4+'TCO TO BE - HW'!G$4)/($E$4+'TCO TO BE - HW'!$E$4)*SUM(AKTIVITY_POZICIE!$M$41:$M$52)*1.2)/AKTIVITY_POZICIE!$B$41)),0)+IFERROR(SUM(#REF!)*'TCO TO BE- SW'!G$4/'TCO TO BE- SW'!$E$4,0)</f>
        <v>616.69623547657079</v>
      </c>
      <c r="H151" s="576">
        <f>IFERROR(IF((POZICIE_INTERNE!$B$40-12*('TCO TO BE- SW'!$D151-1))&gt;12,((H$4+'TCO TO BE - HW'!H$4)/($E$4+'TCO TO BE - HW'!$E$4)*SUM(POZICIE_INTERNE!$I$40:$I$51))/POZICIE_INTERNE!$B$40*12,IF((POZICIE_INTERNE!$B$40-12*('TCO TO BE- SW'!$D151-1))&lt;0,0,(POZICIE_INTERNE!$B$40-12*('TCO TO BE- SW'!$D151-1))*((H$4+'TCO TO BE - HW'!H$4)/($E$4+'TCO TO BE - HW'!$E$4)*SUM(POZICIE_INTERNE!$I$40:$I$51))/POZICIE_INTERNE!$B$40)),0)+IFERROR(IF((AKTIVITY_POZICIE!$B$41-12*('TCO TO BE- SW'!$D151-1))&gt;12,((H$4+'TCO TO BE - HW'!H$4)/($E$4+'TCO TO BE - HW'!$E$4)*SUM(AKTIVITY_POZICIE!$M$41:$M$52)*1.2)/AKTIVITY_POZICIE!$B$41*12,IF((AKTIVITY_POZICIE!$B$41-12*('TCO TO BE- SW'!$D151-1))&lt;0,0,(AKTIVITY_POZICIE!$B$41-12*('TCO TO BE- SW'!$D151-1))*((H$4+'TCO TO BE - HW'!H$4)/($E$4+'TCO TO BE - HW'!$E$4)*SUM(AKTIVITY_POZICIE!$M$41:$M$52)*1.2)/AKTIVITY_POZICIE!$B$41)),0)+IFERROR(SUM(#REF!)*'TCO TO BE- SW'!H$4/'TCO TO BE- SW'!$E$4,0)</f>
        <v>3273.2970646679933</v>
      </c>
      <c r="I151" s="576">
        <f>IFERROR(IF((POZICIE_INTERNE!$B$40-12*('TCO TO BE- SW'!$D151-1))&gt;12,((I$4+'TCO TO BE - HW'!I$4)/($E$4+'TCO TO BE - HW'!$E$4)*SUM(POZICIE_INTERNE!$I$40:$I$51))/POZICIE_INTERNE!$B$40*12,IF((POZICIE_INTERNE!$B$40-12*('TCO TO BE- SW'!$D151-1))&lt;0,0,(POZICIE_INTERNE!$B$40-12*('TCO TO BE- SW'!$D151-1))*((I$4+'TCO TO BE - HW'!I$4)/($E$4+'TCO TO BE - HW'!$E$4)*SUM(POZICIE_INTERNE!$I$40:$I$51))/POZICIE_INTERNE!$B$40)),0)+IFERROR(IF((AKTIVITY_POZICIE!$B$41-12*('TCO TO BE- SW'!$D151-1))&gt;12,((I$4+'TCO TO BE - HW'!I$4)/($E$4+'TCO TO BE - HW'!$E$4)*SUM(AKTIVITY_POZICIE!$M$41:$M$52)*1.2)/AKTIVITY_POZICIE!$B$41*12,IF((AKTIVITY_POZICIE!$B$41-12*('TCO TO BE- SW'!$D151-1))&lt;0,0,(AKTIVITY_POZICIE!$B$41-12*('TCO TO BE- SW'!$D151-1))*((I$4+'TCO TO BE - HW'!I$4)/($E$4+'TCO TO BE - HW'!$E$4)*SUM(AKTIVITY_POZICIE!$M$41:$M$52)*1.2)/AKTIVITY_POZICIE!$B$41)),0)+IFERROR(SUM(#REF!)*'TCO TO BE- SW'!I$4/'TCO TO BE- SW'!$E$4,0)</f>
        <v>397.06316309570286</v>
      </c>
      <c r="J151" s="576">
        <f>IFERROR(IF((POZICIE_INTERNE!$B$40-12*('TCO TO BE- SW'!$D151-1))&gt;12,((J$4+'TCO TO BE - HW'!J$4)/($E$4+'TCO TO BE - HW'!$E$4)*SUM(POZICIE_INTERNE!$I$40:$I$51))/POZICIE_INTERNE!$B$40*12,IF((POZICIE_INTERNE!$B$40-12*('TCO TO BE- SW'!$D151-1))&lt;0,0,(POZICIE_INTERNE!$B$40-12*('TCO TO BE- SW'!$D151-1))*((J$4+'TCO TO BE - HW'!J$4)/($E$4+'TCO TO BE - HW'!$E$4)*SUM(POZICIE_INTERNE!$I$40:$I$51))/POZICIE_INTERNE!$B$40)),0)+IFERROR(IF((AKTIVITY_POZICIE!$B$41-12*('TCO TO BE- SW'!$D151-1))&gt;12,((J$4+'TCO TO BE - HW'!J$4)/($E$4+'TCO TO BE - HW'!$E$4)*SUM(AKTIVITY_POZICIE!$M$41:$M$52)*1.2)/AKTIVITY_POZICIE!$B$41*12,IF((AKTIVITY_POZICIE!$B$41-12*('TCO TO BE- SW'!$D151-1))&lt;0,0,(AKTIVITY_POZICIE!$B$41-12*('TCO TO BE- SW'!$D151-1))*((J$4+'TCO TO BE - HW'!J$4)/($E$4+'TCO TO BE - HW'!$E$4)*SUM(AKTIVITY_POZICIE!$M$41:$M$52)*1.2)/AKTIVITY_POZICIE!$B$41)),0)+IFERROR(SUM(#REF!)*'TCO TO BE- SW'!J$4/'TCO TO BE- SW'!$E$4,0)</f>
        <v>0</v>
      </c>
      <c r="K151" s="576">
        <f>IFERROR(IF((POZICIE_INTERNE!$B$40-12*('TCO TO BE- SW'!$D151-1))&gt;12,((K$4+'TCO TO BE - HW'!K$4)/($E$4+'TCO TO BE - HW'!$E$4)*SUM(POZICIE_INTERNE!$I$40:$I$51))/POZICIE_INTERNE!$B$40*12,IF((POZICIE_INTERNE!$B$40-12*('TCO TO BE- SW'!$D151-1))&lt;0,0,(POZICIE_INTERNE!$B$40-12*('TCO TO BE- SW'!$D151-1))*((K$4+'TCO TO BE - HW'!K$4)/($E$4+'TCO TO BE - HW'!$E$4)*SUM(POZICIE_INTERNE!$I$40:$I$51))/POZICIE_INTERNE!$B$40)),0)+IFERROR(IF((AKTIVITY_POZICIE!$B$41-12*('TCO TO BE- SW'!$D151-1))&gt;12,((K$4+'TCO TO BE - HW'!K$4)/($E$4+'TCO TO BE - HW'!$E$4)*SUM(AKTIVITY_POZICIE!$M$41:$M$52)*1.2)/AKTIVITY_POZICIE!$B$41*12,IF((AKTIVITY_POZICIE!$B$41-12*('TCO TO BE- SW'!$D151-1))&lt;0,0,(AKTIVITY_POZICIE!$B$41-12*('TCO TO BE- SW'!$D151-1))*((K$4+'TCO TO BE - HW'!K$4)/($E$4+'TCO TO BE - HW'!$E$4)*SUM(AKTIVITY_POZICIE!$M$41:$M$52)*1.2)/AKTIVITY_POZICIE!$B$41)),0)+IFERROR(SUM(#REF!)*'TCO TO BE- SW'!K$4/'TCO TO BE- SW'!$E$4,0)</f>
        <v>0</v>
      </c>
      <c r="L151" s="576">
        <f>IFERROR(IF((POZICIE_INTERNE!$B$40-12*('TCO TO BE- SW'!$D151-1))&gt;12,((L$4+'TCO TO BE - HW'!L$4)/($E$4+'TCO TO BE - HW'!$E$4)*SUM(POZICIE_INTERNE!$I$40:$I$51))/POZICIE_INTERNE!$B$40*12,IF((POZICIE_INTERNE!$B$40-12*('TCO TO BE- SW'!$D151-1))&lt;0,0,(POZICIE_INTERNE!$B$40-12*('TCO TO BE- SW'!$D151-1))*((L$4+'TCO TO BE - HW'!L$4)/($E$4+'TCO TO BE - HW'!$E$4)*SUM(POZICIE_INTERNE!$I$40:$I$51))/POZICIE_INTERNE!$B$40)),0)+IFERROR(IF((AKTIVITY_POZICIE!$B$41-12*('TCO TO BE- SW'!$D151-1))&gt;12,((L$4+'TCO TO BE - HW'!L$4)/($E$4+'TCO TO BE - HW'!$E$4)*SUM(AKTIVITY_POZICIE!$M$41:$M$52)*1.2)/AKTIVITY_POZICIE!$B$41*12,IF((AKTIVITY_POZICIE!$B$41-12*('TCO TO BE- SW'!$D151-1))&lt;0,0,(AKTIVITY_POZICIE!$B$41-12*('TCO TO BE- SW'!$D151-1))*((L$4+'TCO TO BE - HW'!L$4)/($E$4+'TCO TO BE - HW'!$E$4)*SUM(AKTIVITY_POZICIE!$M$41:$M$52)*1.2)/AKTIVITY_POZICIE!$B$41)),0)+IFERROR(SUM(#REF!)*'TCO TO BE- SW'!L$4/'TCO TO BE- SW'!$E$4,0)</f>
        <v>0</v>
      </c>
      <c r="M151" s="576">
        <f>IFERROR(IF((POZICIE_INTERNE!$B$40-12*('TCO TO BE- SW'!$D151-1))&gt;12,((M$4+'TCO TO BE - HW'!M$4)/($E$4+'TCO TO BE - HW'!$E$4)*SUM(POZICIE_INTERNE!$I$40:$I$51))/POZICIE_INTERNE!$B$40*12,IF((POZICIE_INTERNE!$B$40-12*('TCO TO BE- SW'!$D151-1))&lt;0,0,(POZICIE_INTERNE!$B$40-12*('TCO TO BE- SW'!$D151-1))*((M$4+'TCO TO BE - HW'!M$4)/($E$4+'TCO TO BE - HW'!$E$4)*SUM(POZICIE_INTERNE!$I$40:$I$51))/POZICIE_INTERNE!$B$40)),0)+IFERROR(IF((AKTIVITY_POZICIE!$B$41-12*('TCO TO BE- SW'!$D151-1))&gt;12,((M$4+'TCO TO BE - HW'!M$4)/($E$4+'TCO TO BE - HW'!$E$4)*SUM(AKTIVITY_POZICIE!$M$41:$M$52)*1.2)/AKTIVITY_POZICIE!$B$41*12,IF((AKTIVITY_POZICIE!$B$41-12*('TCO TO BE- SW'!$D151-1))&lt;0,0,(AKTIVITY_POZICIE!$B$41-12*('TCO TO BE- SW'!$D151-1))*((M$4+'TCO TO BE - HW'!M$4)/($E$4+'TCO TO BE - HW'!$E$4)*SUM(AKTIVITY_POZICIE!$M$41:$M$52)*1.2)/AKTIVITY_POZICIE!$B$41)),0)+IFERROR(SUM(#REF!)*'TCO TO BE- SW'!M$4/'TCO TO BE- SW'!$E$4,0)</f>
        <v>0</v>
      </c>
      <c r="N151" s="576">
        <f>IFERROR(IF((POZICIE_INTERNE!$B$40-12*('TCO TO BE- SW'!$D151-1))&gt;12,((N$4+'TCO TO BE - HW'!N$4)/($E$4+'TCO TO BE - HW'!$E$4)*SUM(POZICIE_INTERNE!$I$40:$I$51))/POZICIE_INTERNE!$B$40*12,IF((POZICIE_INTERNE!$B$40-12*('TCO TO BE- SW'!$D151-1))&lt;0,0,(POZICIE_INTERNE!$B$40-12*('TCO TO BE- SW'!$D151-1))*((N$4+'TCO TO BE - HW'!N$4)/($E$4+'TCO TO BE - HW'!$E$4)*SUM(POZICIE_INTERNE!$I$40:$I$51))/POZICIE_INTERNE!$B$40)),0)+IFERROR(IF((AKTIVITY_POZICIE!$B$41-12*('TCO TO BE- SW'!$D151-1))&gt;12,((N$4+'TCO TO BE - HW'!N$4)/($E$4+'TCO TO BE - HW'!$E$4)*SUM(AKTIVITY_POZICIE!$M$41:$M$52)*1.2)/AKTIVITY_POZICIE!$B$41*12,IF((AKTIVITY_POZICIE!$B$41-12*('TCO TO BE- SW'!$D151-1))&lt;0,0,(AKTIVITY_POZICIE!$B$41-12*('TCO TO BE- SW'!$D151-1))*((N$4+'TCO TO BE - HW'!N$4)/($E$4+'TCO TO BE - HW'!$E$4)*SUM(AKTIVITY_POZICIE!$M$41:$M$52)*1.2)/AKTIVITY_POZICIE!$B$41)),0)+IFERROR(SUM(#REF!)*'TCO TO BE- SW'!N$4/'TCO TO BE- SW'!$E$4,0)</f>
        <v>0</v>
      </c>
      <c r="O151" s="576">
        <f>IFERROR(IF((POZICIE_INTERNE!$B$40-12*('TCO TO BE- SW'!$D151-1))&gt;12,((O$4+'TCO TO BE - HW'!O$4)/($E$4+'TCO TO BE - HW'!$E$4)*SUM(POZICIE_INTERNE!$I$40:$I$51))/POZICIE_INTERNE!$B$40*12,IF((POZICIE_INTERNE!$B$40-12*('TCO TO BE- SW'!$D151-1))&lt;0,0,(POZICIE_INTERNE!$B$40-12*('TCO TO BE- SW'!$D151-1))*((O$4+'TCO TO BE - HW'!O$4)/($E$4+'TCO TO BE - HW'!$E$4)*SUM(POZICIE_INTERNE!$I$40:$I$51))/POZICIE_INTERNE!$B$40)),0)+IFERROR(IF((AKTIVITY_POZICIE!$B$41-12*('TCO TO BE- SW'!$D151-1))&gt;12,((O$4+'TCO TO BE - HW'!O$4)/($E$4+'TCO TO BE - HW'!$E$4)*SUM(AKTIVITY_POZICIE!$M$41:$M$52)*1.2)/AKTIVITY_POZICIE!$B$41*12,IF((AKTIVITY_POZICIE!$B$41-12*('TCO TO BE- SW'!$D151-1))&lt;0,0,(AKTIVITY_POZICIE!$B$41-12*('TCO TO BE- SW'!$D151-1))*((O$4+'TCO TO BE - HW'!O$4)/($E$4+'TCO TO BE - HW'!$E$4)*SUM(AKTIVITY_POZICIE!$M$41:$M$52)*1.2)/AKTIVITY_POZICIE!$B$41)),0)+IFERROR(SUM(#REF!)*'TCO TO BE- SW'!O$4/'TCO TO BE- SW'!$E$4,0)</f>
        <v>0</v>
      </c>
      <c r="P151" s="576">
        <f>IFERROR(IF((POZICIE_INTERNE!$B$40-12*('TCO TO BE- SW'!$D151-1))&gt;12,((P$4+'TCO TO BE - HW'!P$4)/($E$4+'TCO TO BE - HW'!$E$4)*SUM(POZICIE_INTERNE!$I$40:$I$51))/POZICIE_INTERNE!$B$40*12,IF((POZICIE_INTERNE!$B$40-12*('TCO TO BE- SW'!$D151-1))&lt;0,0,(POZICIE_INTERNE!$B$40-12*('TCO TO BE- SW'!$D151-1))*((P$4+'TCO TO BE - HW'!P$4)/($E$4+'TCO TO BE - HW'!$E$4)*SUM(POZICIE_INTERNE!$I$40:$I$51))/POZICIE_INTERNE!$B$40)),0)+IFERROR(IF((AKTIVITY_POZICIE!$B$41-12*('TCO TO BE- SW'!$D151-1))&gt;12,((P$4+'TCO TO BE - HW'!P$4)/($E$4+'TCO TO BE - HW'!$E$4)*SUM(AKTIVITY_POZICIE!$M$41:$M$52)*1.2)/AKTIVITY_POZICIE!$B$41*12,IF((AKTIVITY_POZICIE!$B$41-12*('TCO TO BE- SW'!$D151-1))&lt;0,0,(AKTIVITY_POZICIE!$B$41-12*('TCO TO BE- SW'!$D151-1))*((P$4+'TCO TO BE - HW'!P$4)/($E$4+'TCO TO BE - HW'!$E$4)*SUM(AKTIVITY_POZICIE!$M$41:$M$52)*1.2)/AKTIVITY_POZICIE!$B$41)),0)+IFERROR(SUM(#REF!)*'TCO TO BE- SW'!P$4/'TCO TO BE- SW'!$E$4,0)</f>
        <v>0</v>
      </c>
      <c r="Q151" s="576">
        <f>IFERROR(IF((POZICIE_INTERNE!$B$40-12*('TCO TO BE- SW'!$D151-1))&gt;12,((Q$4+'TCO TO BE - HW'!Q$4)/($E$4+'TCO TO BE - HW'!$E$4)*SUM(POZICIE_INTERNE!$I$40:$I$51))/POZICIE_INTERNE!$B$40*12,IF((POZICIE_INTERNE!$B$40-12*('TCO TO BE- SW'!$D151-1))&lt;0,0,(POZICIE_INTERNE!$B$40-12*('TCO TO BE- SW'!$D151-1))*((Q$4+'TCO TO BE - HW'!Q$4)/($E$4+'TCO TO BE - HW'!$E$4)*SUM(POZICIE_INTERNE!$I$40:$I$51))/POZICIE_INTERNE!$B$40)),0)+IFERROR(IF((AKTIVITY_POZICIE!$B$41-12*('TCO TO BE- SW'!$D151-1))&gt;12,((Q$4+'TCO TO BE - HW'!Q$4)/($E$4+'TCO TO BE - HW'!$E$4)*SUM(AKTIVITY_POZICIE!$M$41:$M$52)*1.2)/AKTIVITY_POZICIE!$B$41*12,IF((AKTIVITY_POZICIE!$B$41-12*('TCO TO BE- SW'!$D151-1))&lt;0,0,(AKTIVITY_POZICIE!$B$41-12*('TCO TO BE- SW'!$D151-1))*((Q$4+'TCO TO BE - HW'!Q$4)/($E$4+'TCO TO BE - HW'!$E$4)*SUM(AKTIVITY_POZICIE!$M$41:$M$52)*1.2)/AKTIVITY_POZICIE!$B$41)),0)+IFERROR(SUM(#REF!)*'TCO TO BE- SW'!Q$4/'TCO TO BE- SW'!$E$4,0)</f>
        <v>0</v>
      </c>
      <c r="R151" s="576">
        <f>IFERROR(IF((POZICIE_INTERNE!$B$40-12*('TCO TO BE- SW'!$D151-1))&gt;12,((R$4+'TCO TO BE - HW'!R$4)/($E$4+'TCO TO BE - HW'!$E$4)*SUM(POZICIE_INTERNE!$I$40:$I$51))/POZICIE_INTERNE!$B$40*12,IF((POZICIE_INTERNE!$B$40-12*('TCO TO BE- SW'!$D151-1))&lt;0,0,(POZICIE_INTERNE!$B$40-12*('TCO TO BE- SW'!$D151-1))*((R$4+'TCO TO BE - HW'!R$4)/($E$4+'TCO TO BE - HW'!$E$4)*SUM(POZICIE_INTERNE!$I$40:$I$51))/POZICIE_INTERNE!$B$40)),0)+IFERROR(IF((AKTIVITY_POZICIE!$B$41-12*('TCO TO BE- SW'!$D151-1))&gt;12,((R$4+'TCO TO BE - HW'!R$4)/($E$4+'TCO TO BE - HW'!$E$4)*SUM(AKTIVITY_POZICIE!$M$41:$M$52)*1.2)/AKTIVITY_POZICIE!$B$41*12,IF((AKTIVITY_POZICIE!$B$41-12*('TCO TO BE- SW'!$D151-1))&lt;0,0,(AKTIVITY_POZICIE!$B$41-12*('TCO TO BE- SW'!$D151-1))*((R$4+'TCO TO BE - HW'!R$4)/($E$4+'TCO TO BE - HW'!$E$4)*SUM(AKTIVITY_POZICIE!$M$41:$M$52)*1.2)/AKTIVITY_POZICIE!$B$41)),0)+IFERROR(SUM(#REF!)*'TCO TO BE- SW'!R$4/'TCO TO BE- SW'!$E$4,0)</f>
        <v>0</v>
      </c>
      <c r="S151" s="576">
        <f>IFERROR(IF((POZICIE_INTERNE!$B$40-12*('TCO TO BE- SW'!$D151-1))&gt;12,((S$4+'TCO TO BE - HW'!S$4)/($E$4+'TCO TO BE - HW'!$E$4)*SUM(POZICIE_INTERNE!$I$40:$I$51))/POZICIE_INTERNE!$B$40*12,IF((POZICIE_INTERNE!$B$40-12*('TCO TO BE- SW'!$D151-1))&lt;0,0,(POZICIE_INTERNE!$B$40-12*('TCO TO BE- SW'!$D151-1))*((S$4+'TCO TO BE - HW'!S$4)/($E$4+'TCO TO BE - HW'!$E$4)*SUM(POZICIE_INTERNE!$I$40:$I$51))/POZICIE_INTERNE!$B$40)),0)+IFERROR(IF((AKTIVITY_POZICIE!$B$41-12*('TCO TO BE- SW'!$D151-1))&gt;12,((S$4+'TCO TO BE - HW'!S$4)/($E$4+'TCO TO BE - HW'!$E$4)*SUM(AKTIVITY_POZICIE!$M$41:$M$52)*1.2)/AKTIVITY_POZICIE!$B$41*12,IF((AKTIVITY_POZICIE!$B$41-12*('TCO TO BE- SW'!$D151-1))&lt;0,0,(AKTIVITY_POZICIE!$B$41-12*('TCO TO BE- SW'!$D151-1))*((S$4+'TCO TO BE - HW'!S$4)/($E$4+'TCO TO BE - HW'!$E$4)*SUM(AKTIVITY_POZICIE!$M$41:$M$52)*1.2)/AKTIVITY_POZICIE!$B$41)),0)+IFERROR(SUM(#REF!)*'TCO TO BE- SW'!S$4/'TCO TO BE- SW'!$E$4,0)</f>
        <v>0</v>
      </c>
      <c r="T151" s="576">
        <f>IFERROR(IF((POZICIE_INTERNE!$B$40-12*('TCO TO BE- SW'!$D151-1))&gt;12,((T$4+'TCO TO BE - HW'!T$4)/($E$4+'TCO TO BE - HW'!$E$4)*SUM(POZICIE_INTERNE!$I$40:$I$51))/POZICIE_INTERNE!$B$40*12,IF((POZICIE_INTERNE!$B$40-12*('TCO TO BE- SW'!$D151-1))&lt;0,0,(POZICIE_INTERNE!$B$40-12*('TCO TO BE- SW'!$D151-1))*((T$4+'TCO TO BE - HW'!T$4)/($E$4+'TCO TO BE - HW'!$E$4)*SUM(POZICIE_INTERNE!$I$40:$I$51))/POZICIE_INTERNE!$B$40)),0)+IFERROR(IF((AKTIVITY_POZICIE!$B$41-12*('TCO TO BE- SW'!$D151-1))&gt;12,((T$4+'TCO TO BE - HW'!T$4)/($E$4+'TCO TO BE - HW'!$E$4)*SUM(AKTIVITY_POZICIE!$M$41:$M$52)*1.2)/AKTIVITY_POZICIE!$B$41*12,IF((AKTIVITY_POZICIE!$B$41-12*('TCO TO BE- SW'!$D151-1))&lt;0,0,(AKTIVITY_POZICIE!$B$41-12*('TCO TO BE- SW'!$D151-1))*((T$4+'TCO TO BE - HW'!T$4)/($E$4+'TCO TO BE - HW'!$E$4)*SUM(AKTIVITY_POZICIE!$M$41:$M$52)*1.2)/AKTIVITY_POZICIE!$B$41)),0)+IFERROR(SUM(#REF!)*'TCO TO BE- SW'!T$4/'TCO TO BE- SW'!$E$4,0)</f>
        <v>0</v>
      </c>
      <c r="U151" s="576">
        <f>IFERROR(IF((POZICIE_INTERNE!$B$40-12*('TCO TO BE- SW'!$D151-1))&gt;12,((U$4+'TCO TO BE - HW'!U$4)/($E$4+'TCO TO BE - HW'!$E$4)*SUM(POZICIE_INTERNE!$I$40:$I$51))/POZICIE_INTERNE!$B$40*12,IF((POZICIE_INTERNE!$B$40-12*('TCO TO BE- SW'!$D151-1))&lt;0,0,(POZICIE_INTERNE!$B$40-12*('TCO TO BE- SW'!$D151-1))*((U$4+'TCO TO BE - HW'!U$4)/($E$4+'TCO TO BE - HW'!$E$4)*SUM(POZICIE_INTERNE!$I$40:$I$51))/POZICIE_INTERNE!$B$40)),0)+IFERROR(IF((AKTIVITY_POZICIE!$B$41-12*('TCO TO BE- SW'!$D151-1))&gt;12,((U$4+'TCO TO BE - HW'!U$4)/($E$4+'TCO TO BE - HW'!$E$4)*SUM(AKTIVITY_POZICIE!$M$41:$M$52)*1.2)/AKTIVITY_POZICIE!$B$41*12,IF((AKTIVITY_POZICIE!$B$41-12*('TCO TO BE- SW'!$D151-1))&lt;0,0,(AKTIVITY_POZICIE!$B$41-12*('TCO TO BE- SW'!$D151-1))*((U$4+'TCO TO BE - HW'!U$4)/($E$4+'TCO TO BE - HW'!$E$4)*SUM(AKTIVITY_POZICIE!$M$41:$M$52)*1.2)/AKTIVITY_POZICIE!$B$41)),0)+IFERROR(SUM(#REF!)*'TCO TO BE- SW'!U$4/'TCO TO BE- SW'!$E$4,0)</f>
        <v>0</v>
      </c>
      <c r="V151" s="576">
        <f>IFERROR(IF((POZICIE_INTERNE!$B$40-12*('TCO TO BE- SW'!$D151-1))&gt;12,((V$4+'TCO TO BE - HW'!V$4)/($E$4+'TCO TO BE - HW'!$E$4)*SUM(POZICIE_INTERNE!$I$40:$I$51))/POZICIE_INTERNE!$B$40*12,IF((POZICIE_INTERNE!$B$40-12*('TCO TO BE- SW'!$D151-1))&lt;0,0,(POZICIE_INTERNE!$B$40-12*('TCO TO BE- SW'!$D151-1))*((V$4+'TCO TO BE - HW'!V$4)/($E$4+'TCO TO BE - HW'!$E$4)*SUM(POZICIE_INTERNE!$I$40:$I$51))/POZICIE_INTERNE!$B$40)),0)+IFERROR(IF((AKTIVITY_POZICIE!$B$41-12*('TCO TO BE- SW'!$D151-1))&gt;12,((V$4+'TCO TO BE - HW'!V$4)/($E$4+'TCO TO BE - HW'!$E$4)*SUM(AKTIVITY_POZICIE!$M$41:$M$52)*1.2)/AKTIVITY_POZICIE!$B$41*12,IF((AKTIVITY_POZICIE!$B$41-12*('TCO TO BE- SW'!$D151-1))&lt;0,0,(AKTIVITY_POZICIE!$B$41-12*('TCO TO BE- SW'!$D151-1))*((V$4+'TCO TO BE - HW'!V$4)/($E$4+'TCO TO BE - HW'!$E$4)*SUM(AKTIVITY_POZICIE!$M$41:$M$52)*1.2)/AKTIVITY_POZICIE!$B$41)),0)+IFERROR(SUM(#REF!)*'TCO TO BE- SW'!V$4/'TCO TO BE- SW'!$E$4,0)</f>
        <v>0</v>
      </c>
      <c r="W151" s="576">
        <f>IFERROR(IF((POZICIE_INTERNE!$B$40-12*('TCO TO BE- SW'!$D151-1))&gt;12,((W$4+'TCO TO BE - HW'!W$4)/($E$4+'TCO TO BE - HW'!$E$4)*SUM(POZICIE_INTERNE!$I$40:$I$51))/POZICIE_INTERNE!$B$40*12,IF((POZICIE_INTERNE!$B$40-12*('TCO TO BE- SW'!$D151-1))&lt;0,0,(POZICIE_INTERNE!$B$40-12*('TCO TO BE- SW'!$D151-1))*((W$4+'TCO TO BE - HW'!W$4)/($E$4+'TCO TO BE - HW'!$E$4)*SUM(POZICIE_INTERNE!$I$40:$I$51))/POZICIE_INTERNE!$B$40)),0)+IFERROR(IF((AKTIVITY_POZICIE!$B$41-12*('TCO TO BE- SW'!$D151-1))&gt;12,((W$4+'TCO TO BE - HW'!W$4)/($E$4+'TCO TO BE - HW'!$E$4)*SUM(AKTIVITY_POZICIE!$M$41:$M$52)*1.2)/AKTIVITY_POZICIE!$B$41*12,IF((AKTIVITY_POZICIE!$B$41-12*('TCO TO BE- SW'!$D151-1))&lt;0,0,(AKTIVITY_POZICIE!$B$41-12*('TCO TO BE- SW'!$D151-1))*((W$4+'TCO TO BE - HW'!W$4)/($E$4+'TCO TO BE - HW'!$E$4)*SUM(AKTIVITY_POZICIE!$M$41:$M$52)*1.2)/AKTIVITY_POZICIE!$B$41)),0)+IFERROR(SUM(#REF!)*'TCO TO BE- SW'!W$4/'TCO TO BE- SW'!$E$4,0)</f>
        <v>0</v>
      </c>
      <c r="X151" s="576">
        <f>IFERROR(IF((POZICIE_INTERNE!$B$40-12*('TCO TO BE- SW'!$D151-1))&gt;12,((X$4+'TCO TO BE - HW'!X$4)/($E$4+'TCO TO BE - HW'!$E$4)*SUM(POZICIE_INTERNE!$I$40:$I$51))/POZICIE_INTERNE!$B$40*12,IF((POZICIE_INTERNE!$B$40-12*('TCO TO BE- SW'!$D151-1))&lt;0,0,(POZICIE_INTERNE!$B$40-12*('TCO TO BE- SW'!$D151-1))*((X$4+'TCO TO BE - HW'!X$4)/($E$4+'TCO TO BE - HW'!$E$4)*SUM(POZICIE_INTERNE!$I$40:$I$51))/POZICIE_INTERNE!$B$40)),0)+IFERROR(IF((AKTIVITY_POZICIE!$B$41-12*('TCO TO BE- SW'!$D151-1))&gt;12,((X$4+'TCO TO BE - HW'!X$4)/($E$4+'TCO TO BE - HW'!$E$4)*SUM(AKTIVITY_POZICIE!$M$41:$M$52)*1.2)/AKTIVITY_POZICIE!$B$41*12,IF((AKTIVITY_POZICIE!$B$41-12*('TCO TO BE- SW'!$D151-1))&lt;0,0,(AKTIVITY_POZICIE!$B$41-12*('TCO TO BE- SW'!$D151-1))*((X$4+'TCO TO BE - HW'!X$4)/($E$4+'TCO TO BE - HW'!$E$4)*SUM(AKTIVITY_POZICIE!$M$41:$M$52)*1.2)/AKTIVITY_POZICIE!$B$41)),0)+IFERROR(SUM(#REF!)*'TCO TO BE- SW'!X$4/'TCO TO BE- SW'!$E$4,0)</f>
        <v>0</v>
      </c>
      <c r="Y151" s="576">
        <f>IFERROR(IF((POZICIE_INTERNE!$B$40-12*('TCO TO BE- SW'!$D151-1))&gt;12,((Y$4+'TCO TO BE - HW'!Y$4)/($E$4+'TCO TO BE - HW'!$E$4)*SUM(POZICIE_INTERNE!$I$40:$I$51))/POZICIE_INTERNE!$B$40*12,IF((POZICIE_INTERNE!$B$40-12*('TCO TO BE- SW'!$D151-1))&lt;0,0,(POZICIE_INTERNE!$B$40-12*('TCO TO BE- SW'!$D151-1))*((Y$4+'TCO TO BE - HW'!Y$4)/($E$4+'TCO TO BE - HW'!$E$4)*SUM(POZICIE_INTERNE!$I$40:$I$51))/POZICIE_INTERNE!$B$40)),0)+IFERROR(IF((AKTIVITY_POZICIE!$B$41-12*('TCO TO BE- SW'!$D151-1))&gt;12,((Y$4+'TCO TO BE - HW'!Y$4)/($E$4+'TCO TO BE - HW'!$E$4)*SUM(AKTIVITY_POZICIE!$M$41:$M$52)*1.2)/AKTIVITY_POZICIE!$B$41*12,IF((AKTIVITY_POZICIE!$B$41-12*('TCO TO BE- SW'!$D151-1))&lt;0,0,(AKTIVITY_POZICIE!$B$41-12*('TCO TO BE- SW'!$D151-1))*((Y$4+'TCO TO BE - HW'!Y$4)/($E$4+'TCO TO BE - HW'!$E$4)*SUM(AKTIVITY_POZICIE!$M$41:$M$52)*1.2)/AKTIVITY_POZICIE!$B$41)),0)+IFERROR(SUM(#REF!)*'TCO TO BE- SW'!Y$4/'TCO TO BE- SW'!$E$4,0)</f>
        <v>0</v>
      </c>
      <c r="Z151" s="576">
        <f>IFERROR(IF((POZICIE_INTERNE!$B$40-12*('TCO TO BE- SW'!$D151-1))&gt;12,((Z$4+'TCO TO BE - HW'!Z$4)/($E$4+'TCO TO BE - HW'!$E$4)*SUM(POZICIE_INTERNE!$I$40:$I$51))/POZICIE_INTERNE!$B$40*12,IF((POZICIE_INTERNE!$B$40-12*('TCO TO BE- SW'!$D151-1))&lt;0,0,(POZICIE_INTERNE!$B$40-12*('TCO TO BE- SW'!$D151-1))*((Z$4+'TCO TO BE - HW'!Z$4)/($E$4+'TCO TO BE - HW'!$E$4)*SUM(POZICIE_INTERNE!$I$40:$I$51))/POZICIE_INTERNE!$B$40)),0)+IFERROR(IF((AKTIVITY_POZICIE!$B$41-12*('TCO TO BE- SW'!$D151-1))&gt;12,((Z$4+'TCO TO BE - HW'!Z$4)/($E$4+'TCO TO BE - HW'!$E$4)*SUM(AKTIVITY_POZICIE!$M$41:$M$52)*1.2)/AKTIVITY_POZICIE!$B$41*12,IF((AKTIVITY_POZICIE!$B$41-12*('TCO TO BE- SW'!$D151-1))&lt;0,0,(AKTIVITY_POZICIE!$B$41-12*('TCO TO BE- SW'!$D151-1))*((Z$4+'TCO TO BE - HW'!Z$4)/($E$4+'TCO TO BE - HW'!$E$4)*SUM(AKTIVITY_POZICIE!$M$41:$M$52)*1.2)/AKTIVITY_POZICIE!$B$41)),0)+IFERROR(SUM(#REF!)*'TCO TO BE- SW'!Z$4/'TCO TO BE- SW'!$E$4,0)</f>
        <v>0</v>
      </c>
    </row>
    <row r="152" spans="1:26">
      <c r="A152" s="824"/>
      <c r="B152" s="825"/>
      <c r="C152" s="825"/>
      <c r="D152" s="64">
        <v>2</v>
      </c>
      <c r="E152" s="68">
        <f t="shared" si="16"/>
        <v>1872</v>
      </c>
      <c r="F152" s="577">
        <f>IFERROR(IF((POZICIE_INTERNE!$B$40-12*('TCO TO BE- SW'!$D152-1))&gt;12,((F$4+'TCO TO BE - HW'!F$4)/($E$4+'TCO TO BE - HW'!$E$4)*SUM(POZICIE_INTERNE!$I$40:$I$51))/POZICIE_INTERNE!$B$40*12,IF((POZICIE_INTERNE!$B$40-12*('TCO TO BE- SW'!$D152-1))&lt;0,0,(POZICIE_INTERNE!$B$40-12*('TCO TO BE- SW'!$D152-1))*((F$4+'TCO TO BE - HW'!F$4)/($E$4+'TCO TO BE - HW'!$E$4)*SUM(POZICIE_INTERNE!$I$40:$I$51))/POZICIE_INTERNE!$B$40)),0)+IFERROR(IF((AKTIVITY_POZICIE!$B$41-12*('TCO TO BE- SW'!$D152-1))&gt;12,((F$4+'TCO TO BE - HW'!F$4)/($E$4+'TCO TO BE - HW'!$E$4)*SUM(AKTIVITY_POZICIE!$M$41:$M$52)*1.2)/AKTIVITY_POZICIE!$B$41*12,IF((AKTIVITY_POZICIE!$B$41-12*('TCO TO BE- SW'!$D152-1))&lt;0,0,(AKTIVITY_POZICIE!$B$41-12*('TCO TO BE- SW'!$D152-1))*((F$4+'TCO TO BE - HW'!F$4)/($E$4+'TCO TO BE - HW'!$E$4)*SUM(AKTIVITY_POZICIE!$M$41:$M$52)*1.2)/AKTIVITY_POZICIE!$B$41)),0)</f>
        <v>1157.4905894599556</v>
      </c>
      <c r="G152" s="577">
        <f>IFERROR(IF((POZICIE_INTERNE!$B$40-12*('TCO TO BE- SW'!$D152-1))&gt;12,((G$4+'TCO TO BE - HW'!G$4)/($E$4+'TCO TO BE - HW'!$E$4)*SUM(POZICIE_INTERNE!$I$40:$I$51))/POZICIE_INTERNE!$B$40*12,IF((POZICIE_INTERNE!$B$40-12*('TCO TO BE- SW'!$D152-1))&lt;0,0,(POZICIE_INTERNE!$B$40-12*('TCO TO BE- SW'!$D152-1))*((G$4+'TCO TO BE - HW'!G$4)/($E$4+'TCO TO BE - HW'!$E$4)*SUM(POZICIE_INTERNE!$I$40:$I$51))/POZICIE_INTERNE!$B$40)),0)+IFERROR(IF((AKTIVITY_POZICIE!$B$41-12*('TCO TO BE- SW'!$D152-1))&gt;12,((G$4+'TCO TO BE - HW'!G$4)/($E$4+'TCO TO BE - HW'!$E$4)*SUM(AKTIVITY_POZICIE!$M$41:$M$52)*1.2)/AKTIVITY_POZICIE!$B$41*12,IF((AKTIVITY_POZICIE!$B$41-12*('TCO TO BE- SW'!$D152-1))&lt;0,0,(AKTIVITY_POZICIE!$B$41-12*('TCO TO BE- SW'!$D152-1))*((G$4+'TCO TO BE - HW'!G$4)/($E$4+'TCO TO BE - HW'!$E$4)*SUM(AKTIVITY_POZICIE!$M$41:$M$52)*1.2)/AKTIVITY_POZICIE!$B$41)),0)</f>
        <v>102.7827059127618</v>
      </c>
      <c r="H152" s="577">
        <f>IFERROR(IF((POZICIE_INTERNE!$B$40-12*('TCO TO BE- SW'!$D152-1))&gt;12,((H$4+'TCO TO BE - HW'!H$4)/($E$4+'TCO TO BE - HW'!$E$4)*SUM(POZICIE_INTERNE!$I$40:$I$51))/POZICIE_INTERNE!$B$40*12,IF((POZICIE_INTERNE!$B$40-12*('TCO TO BE- SW'!$D152-1))&lt;0,0,(POZICIE_INTERNE!$B$40-12*('TCO TO BE- SW'!$D152-1))*((H$4+'TCO TO BE - HW'!H$4)/($E$4+'TCO TO BE - HW'!$E$4)*SUM(POZICIE_INTERNE!$I$40:$I$51))/POZICIE_INTERNE!$B$40)),0)+IFERROR(IF((AKTIVITY_POZICIE!$B$41-12*('TCO TO BE- SW'!$D152-1))&gt;12,((H$4+'TCO TO BE - HW'!H$4)/($E$4+'TCO TO BE - HW'!$E$4)*SUM(AKTIVITY_POZICIE!$M$41:$M$52)*1.2)/AKTIVITY_POZICIE!$B$41*12,IF((AKTIVITY_POZICIE!$B$41-12*('TCO TO BE- SW'!$D152-1))&lt;0,0,(AKTIVITY_POZICIE!$B$41-12*('TCO TO BE- SW'!$D152-1))*((H$4+'TCO TO BE - HW'!H$4)/($E$4+'TCO TO BE - HW'!$E$4)*SUM(AKTIVITY_POZICIE!$M$41:$M$52)*1.2)/AKTIVITY_POZICIE!$B$41)),0)</f>
        <v>545.54951077799888</v>
      </c>
      <c r="I152" s="577">
        <f>IFERROR(IF((POZICIE_INTERNE!$B$40-12*('TCO TO BE- SW'!$D152-1))&gt;12,((I$4+'TCO TO BE - HW'!I$4)/($E$4+'TCO TO BE - HW'!$E$4)*SUM(POZICIE_INTERNE!$I$40:$I$51))/POZICIE_INTERNE!$B$40*12,IF((POZICIE_INTERNE!$B$40-12*('TCO TO BE- SW'!$D152-1))&lt;0,0,(POZICIE_INTERNE!$B$40-12*('TCO TO BE- SW'!$D152-1))*((I$4+'TCO TO BE - HW'!I$4)/($E$4+'TCO TO BE - HW'!$E$4)*SUM(POZICIE_INTERNE!$I$40:$I$51))/POZICIE_INTERNE!$B$40)),0)+IFERROR(IF((AKTIVITY_POZICIE!$B$41-12*('TCO TO BE- SW'!$D152-1))&gt;12,((I$4+'TCO TO BE - HW'!I$4)/($E$4+'TCO TO BE - HW'!$E$4)*SUM(AKTIVITY_POZICIE!$M$41:$M$52)*1.2)/AKTIVITY_POZICIE!$B$41*12,IF((AKTIVITY_POZICIE!$B$41-12*('TCO TO BE- SW'!$D152-1))&lt;0,0,(AKTIVITY_POZICIE!$B$41-12*('TCO TO BE- SW'!$D152-1))*((I$4+'TCO TO BE - HW'!I$4)/($E$4+'TCO TO BE - HW'!$E$4)*SUM(AKTIVITY_POZICIE!$M$41:$M$52)*1.2)/AKTIVITY_POZICIE!$B$41)),0)</f>
        <v>66.17719384928381</v>
      </c>
      <c r="J152" s="577">
        <f>IFERROR(IF((POZICIE_INTERNE!$B$40-12*('TCO TO BE- SW'!$D152-1))&gt;12,((J$4+'TCO TO BE - HW'!J$4)/($E$4+'TCO TO BE - HW'!$E$4)*SUM(POZICIE_INTERNE!$I$40:$I$51))/POZICIE_INTERNE!$B$40*12,IF((POZICIE_INTERNE!$B$40-12*('TCO TO BE- SW'!$D152-1))&lt;0,0,(POZICIE_INTERNE!$B$40-12*('TCO TO BE- SW'!$D152-1))*((J$4+'TCO TO BE - HW'!J$4)/($E$4+'TCO TO BE - HW'!$E$4)*SUM(POZICIE_INTERNE!$I$40:$I$51))/POZICIE_INTERNE!$B$40)),0)+IFERROR(IF((AKTIVITY_POZICIE!$B$41-12*('TCO TO BE- SW'!$D152-1))&gt;12,((J$4+'TCO TO BE - HW'!J$4)/($E$4+'TCO TO BE - HW'!$E$4)*SUM(AKTIVITY_POZICIE!$M$41:$M$52)*1.2)/AKTIVITY_POZICIE!$B$41*12,IF((AKTIVITY_POZICIE!$B$41-12*('TCO TO BE- SW'!$D152-1))&lt;0,0,(AKTIVITY_POZICIE!$B$41-12*('TCO TO BE- SW'!$D152-1))*((J$4+'TCO TO BE - HW'!J$4)/($E$4+'TCO TO BE - HW'!$E$4)*SUM(AKTIVITY_POZICIE!$M$41:$M$52)*1.2)/AKTIVITY_POZICIE!$B$41)),0)</f>
        <v>0</v>
      </c>
      <c r="K152" s="577">
        <f>IFERROR(IF((POZICIE_INTERNE!$B$40-12*('TCO TO BE- SW'!$D152-1))&gt;12,((K$4+'TCO TO BE - HW'!K$4)/($E$4+'TCO TO BE - HW'!$E$4)*SUM(POZICIE_INTERNE!$I$40:$I$51))/POZICIE_INTERNE!$B$40*12,IF((POZICIE_INTERNE!$B$40-12*('TCO TO BE- SW'!$D152-1))&lt;0,0,(POZICIE_INTERNE!$B$40-12*('TCO TO BE- SW'!$D152-1))*((K$4+'TCO TO BE - HW'!K$4)/($E$4+'TCO TO BE - HW'!$E$4)*SUM(POZICIE_INTERNE!$I$40:$I$51))/POZICIE_INTERNE!$B$40)),0)+IFERROR(IF((AKTIVITY_POZICIE!$B$41-12*('TCO TO BE- SW'!$D152-1))&gt;12,((K$4+'TCO TO BE - HW'!K$4)/($E$4+'TCO TO BE - HW'!$E$4)*SUM(AKTIVITY_POZICIE!$M$41:$M$52)*1.2)/AKTIVITY_POZICIE!$B$41*12,IF((AKTIVITY_POZICIE!$B$41-12*('TCO TO BE- SW'!$D152-1))&lt;0,0,(AKTIVITY_POZICIE!$B$41-12*('TCO TO BE- SW'!$D152-1))*((K$4+'TCO TO BE - HW'!K$4)/($E$4+'TCO TO BE - HW'!$E$4)*SUM(AKTIVITY_POZICIE!$M$41:$M$52)*1.2)/AKTIVITY_POZICIE!$B$41)),0)</f>
        <v>0</v>
      </c>
      <c r="L152" s="577">
        <f>IFERROR(IF((POZICIE_INTERNE!$B$40-12*('TCO TO BE- SW'!$D152-1))&gt;12,((L$4+'TCO TO BE - HW'!L$4)/($E$4+'TCO TO BE - HW'!$E$4)*SUM(POZICIE_INTERNE!$I$40:$I$51))/POZICIE_INTERNE!$B$40*12,IF((POZICIE_INTERNE!$B$40-12*('TCO TO BE- SW'!$D152-1))&lt;0,0,(POZICIE_INTERNE!$B$40-12*('TCO TO BE- SW'!$D152-1))*((L$4+'TCO TO BE - HW'!L$4)/($E$4+'TCO TO BE - HW'!$E$4)*SUM(POZICIE_INTERNE!$I$40:$I$51))/POZICIE_INTERNE!$B$40)),0)+IFERROR(IF((AKTIVITY_POZICIE!$B$41-12*('TCO TO BE- SW'!$D152-1))&gt;12,((L$4+'TCO TO BE - HW'!L$4)/($E$4+'TCO TO BE - HW'!$E$4)*SUM(AKTIVITY_POZICIE!$M$41:$M$52)*1.2)/AKTIVITY_POZICIE!$B$41*12,IF((AKTIVITY_POZICIE!$B$41-12*('TCO TO BE- SW'!$D152-1))&lt;0,0,(AKTIVITY_POZICIE!$B$41-12*('TCO TO BE- SW'!$D152-1))*((L$4+'TCO TO BE - HW'!L$4)/($E$4+'TCO TO BE - HW'!$E$4)*SUM(AKTIVITY_POZICIE!$M$41:$M$52)*1.2)/AKTIVITY_POZICIE!$B$41)),0)</f>
        <v>0</v>
      </c>
      <c r="M152" s="577">
        <f>IFERROR(IF((POZICIE_INTERNE!$B$40-12*('TCO TO BE- SW'!$D152-1))&gt;12,((M$4+'TCO TO BE - HW'!M$4)/($E$4+'TCO TO BE - HW'!$E$4)*SUM(POZICIE_INTERNE!$I$40:$I$51))/POZICIE_INTERNE!$B$40*12,IF((POZICIE_INTERNE!$B$40-12*('TCO TO BE- SW'!$D152-1))&lt;0,0,(POZICIE_INTERNE!$B$40-12*('TCO TO BE- SW'!$D152-1))*((M$4+'TCO TO BE - HW'!M$4)/($E$4+'TCO TO BE - HW'!$E$4)*SUM(POZICIE_INTERNE!$I$40:$I$51))/POZICIE_INTERNE!$B$40)),0)+IFERROR(IF((AKTIVITY_POZICIE!$B$41-12*('TCO TO BE- SW'!$D152-1))&gt;12,((M$4+'TCO TO BE - HW'!M$4)/($E$4+'TCO TO BE - HW'!$E$4)*SUM(AKTIVITY_POZICIE!$M$41:$M$52)*1.2)/AKTIVITY_POZICIE!$B$41*12,IF((AKTIVITY_POZICIE!$B$41-12*('TCO TO BE- SW'!$D152-1))&lt;0,0,(AKTIVITY_POZICIE!$B$41-12*('TCO TO BE- SW'!$D152-1))*((M$4+'TCO TO BE - HW'!M$4)/($E$4+'TCO TO BE - HW'!$E$4)*SUM(AKTIVITY_POZICIE!$M$41:$M$52)*1.2)/AKTIVITY_POZICIE!$B$41)),0)</f>
        <v>0</v>
      </c>
      <c r="N152" s="577">
        <f>IFERROR(IF((POZICIE_INTERNE!$B$40-12*('TCO TO BE- SW'!$D152-1))&gt;12,((N$4+'TCO TO BE - HW'!N$4)/($E$4+'TCO TO BE - HW'!$E$4)*SUM(POZICIE_INTERNE!$I$40:$I$51))/POZICIE_INTERNE!$B$40*12,IF((POZICIE_INTERNE!$B$40-12*('TCO TO BE- SW'!$D152-1))&lt;0,0,(POZICIE_INTERNE!$B$40-12*('TCO TO BE- SW'!$D152-1))*((N$4+'TCO TO BE - HW'!N$4)/($E$4+'TCO TO BE - HW'!$E$4)*SUM(POZICIE_INTERNE!$I$40:$I$51))/POZICIE_INTERNE!$B$40)),0)+IFERROR(IF((AKTIVITY_POZICIE!$B$41-12*('TCO TO BE- SW'!$D152-1))&gt;12,((N$4+'TCO TO BE - HW'!N$4)/($E$4+'TCO TO BE - HW'!$E$4)*SUM(AKTIVITY_POZICIE!$M$41:$M$52)*1.2)/AKTIVITY_POZICIE!$B$41*12,IF((AKTIVITY_POZICIE!$B$41-12*('TCO TO BE- SW'!$D152-1))&lt;0,0,(AKTIVITY_POZICIE!$B$41-12*('TCO TO BE- SW'!$D152-1))*((N$4+'TCO TO BE - HW'!N$4)/($E$4+'TCO TO BE - HW'!$E$4)*SUM(AKTIVITY_POZICIE!$M$41:$M$52)*1.2)/AKTIVITY_POZICIE!$B$41)),0)</f>
        <v>0</v>
      </c>
      <c r="O152" s="577">
        <f>IFERROR(IF((POZICIE_INTERNE!$B$40-12*('TCO TO BE- SW'!$D152-1))&gt;12,((O$4+'TCO TO BE - HW'!O$4)/($E$4+'TCO TO BE - HW'!$E$4)*SUM(POZICIE_INTERNE!$I$40:$I$51))/POZICIE_INTERNE!$B$40*12,IF((POZICIE_INTERNE!$B$40-12*('TCO TO BE- SW'!$D152-1))&lt;0,0,(POZICIE_INTERNE!$B$40-12*('TCO TO BE- SW'!$D152-1))*((O$4+'TCO TO BE - HW'!O$4)/($E$4+'TCO TO BE - HW'!$E$4)*SUM(POZICIE_INTERNE!$I$40:$I$51))/POZICIE_INTERNE!$B$40)),0)+IFERROR(IF((AKTIVITY_POZICIE!$B$41-12*('TCO TO BE- SW'!$D152-1))&gt;12,((O$4+'TCO TO BE - HW'!O$4)/($E$4+'TCO TO BE - HW'!$E$4)*SUM(AKTIVITY_POZICIE!$M$41:$M$52)*1.2)/AKTIVITY_POZICIE!$B$41*12,IF((AKTIVITY_POZICIE!$B$41-12*('TCO TO BE- SW'!$D152-1))&lt;0,0,(AKTIVITY_POZICIE!$B$41-12*('TCO TO BE- SW'!$D152-1))*((O$4+'TCO TO BE - HW'!O$4)/($E$4+'TCO TO BE - HW'!$E$4)*SUM(AKTIVITY_POZICIE!$M$41:$M$52)*1.2)/AKTIVITY_POZICIE!$B$41)),0)</f>
        <v>0</v>
      </c>
      <c r="P152" s="577">
        <f>IFERROR(IF((POZICIE_INTERNE!$B$40-12*('TCO TO BE- SW'!$D152-1))&gt;12,((P$4+'TCO TO BE - HW'!P$4)/($E$4+'TCO TO BE - HW'!$E$4)*SUM(POZICIE_INTERNE!$I$40:$I$51))/POZICIE_INTERNE!$B$40*12,IF((POZICIE_INTERNE!$B$40-12*('TCO TO BE- SW'!$D152-1))&lt;0,0,(POZICIE_INTERNE!$B$40-12*('TCO TO BE- SW'!$D152-1))*((P$4+'TCO TO BE - HW'!P$4)/($E$4+'TCO TO BE - HW'!$E$4)*SUM(POZICIE_INTERNE!$I$40:$I$51))/POZICIE_INTERNE!$B$40)),0)+IFERROR(IF((AKTIVITY_POZICIE!$B$41-12*('TCO TO BE- SW'!$D152-1))&gt;12,((P$4+'TCO TO BE - HW'!P$4)/($E$4+'TCO TO BE - HW'!$E$4)*SUM(AKTIVITY_POZICIE!$M$41:$M$52)*1.2)/AKTIVITY_POZICIE!$B$41*12,IF((AKTIVITY_POZICIE!$B$41-12*('TCO TO BE- SW'!$D152-1))&lt;0,0,(AKTIVITY_POZICIE!$B$41-12*('TCO TO BE- SW'!$D152-1))*((P$4+'TCO TO BE - HW'!P$4)/($E$4+'TCO TO BE - HW'!$E$4)*SUM(AKTIVITY_POZICIE!$M$41:$M$52)*1.2)/AKTIVITY_POZICIE!$B$41)),0)</f>
        <v>0</v>
      </c>
      <c r="Q152" s="577">
        <f>IFERROR(IF((POZICIE_INTERNE!$B$40-12*('TCO TO BE- SW'!$D152-1))&gt;12,((Q$4+'TCO TO BE - HW'!Q$4)/($E$4+'TCO TO BE - HW'!$E$4)*SUM(POZICIE_INTERNE!$I$40:$I$51))/POZICIE_INTERNE!$B$40*12,IF((POZICIE_INTERNE!$B$40-12*('TCO TO BE- SW'!$D152-1))&lt;0,0,(POZICIE_INTERNE!$B$40-12*('TCO TO BE- SW'!$D152-1))*((Q$4+'TCO TO BE - HW'!Q$4)/($E$4+'TCO TO BE - HW'!$E$4)*SUM(POZICIE_INTERNE!$I$40:$I$51))/POZICIE_INTERNE!$B$40)),0)+IFERROR(IF((AKTIVITY_POZICIE!$B$41-12*('TCO TO BE- SW'!$D152-1))&gt;12,((Q$4+'TCO TO BE - HW'!Q$4)/($E$4+'TCO TO BE - HW'!$E$4)*SUM(AKTIVITY_POZICIE!$M$41:$M$52)*1.2)/AKTIVITY_POZICIE!$B$41*12,IF((AKTIVITY_POZICIE!$B$41-12*('TCO TO BE- SW'!$D152-1))&lt;0,0,(AKTIVITY_POZICIE!$B$41-12*('TCO TO BE- SW'!$D152-1))*((Q$4+'TCO TO BE - HW'!Q$4)/($E$4+'TCO TO BE - HW'!$E$4)*SUM(AKTIVITY_POZICIE!$M$41:$M$52)*1.2)/AKTIVITY_POZICIE!$B$41)),0)</f>
        <v>0</v>
      </c>
      <c r="R152" s="577">
        <f>IFERROR(IF((POZICIE_INTERNE!$B$40-12*('TCO TO BE- SW'!$D152-1))&gt;12,((R$4+'TCO TO BE - HW'!R$4)/($E$4+'TCO TO BE - HW'!$E$4)*SUM(POZICIE_INTERNE!$I$40:$I$51))/POZICIE_INTERNE!$B$40*12,IF((POZICIE_INTERNE!$B$40-12*('TCO TO BE- SW'!$D152-1))&lt;0,0,(POZICIE_INTERNE!$B$40-12*('TCO TO BE- SW'!$D152-1))*((R$4+'TCO TO BE - HW'!R$4)/($E$4+'TCO TO BE - HW'!$E$4)*SUM(POZICIE_INTERNE!$I$40:$I$51))/POZICIE_INTERNE!$B$40)),0)+IFERROR(IF((AKTIVITY_POZICIE!$B$41-12*('TCO TO BE- SW'!$D152-1))&gt;12,((R$4+'TCO TO BE - HW'!R$4)/($E$4+'TCO TO BE - HW'!$E$4)*SUM(AKTIVITY_POZICIE!$M$41:$M$52)*1.2)/AKTIVITY_POZICIE!$B$41*12,IF((AKTIVITY_POZICIE!$B$41-12*('TCO TO BE- SW'!$D152-1))&lt;0,0,(AKTIVITY_POZICIE!$B$41-12*('TCO TO BE- SW'!$D152-1))*((R$4+'TCO TO BE - HW'!R$4)/($E$4+'TCO TO BE - HW'!$E$4)*SUM(AKTIVITY_POZICIE!$M$41:$M$52)*1.2)/AKTIVITY_POZICIE!$B$41)),0)</f>
        <v>0</v>
      </c>
      <c r="S152" s="577">
        <f>IFERROR(IF((POZICIE_INTERNE!$B$40-12*('TCO TO BE- SW'!$D152-1))&gt;12,((S$4+'TCO TO BE - HW'!S$4)/($E$4+'TCO TO BE - HW'!$E$4)*SUM(POZICIE_INTERNE!$I$40:$I$51))/POZICIE_INTERNE!$B$40*12,IF((POZICIE_INTERNE!$B$40-12*('TCO TO BE- SW'!$D152-1))&lt;0,0,(POZICIE_INTERNE!$B$40-12*('TCO TO BE- SW'!$D152-1))*((S$4+'TCO TO BE - HW'!S$4)/($E$4+'TCO TO BE - HW'!$E$4)*SUM(POZICIE_INTERNE!$I$40:$I$51))/POZICIE_INTERNE!$B$40)),0)+IFERROR(IF((AKTIVITY_POZICIE!$B$41-12*('TCO TO BE- SW'!$D152-1))&gt;12,((S$4+'TCO TO BE - HW'!S$4)/($E$4+'TCO TO BE - HW'!$E$4)*SUM(AKTIVITY_POZICIE!$M$41:$M$52)*1.2)/AKTIVITY_POZICIE!$B$41*12,IF((AKTIVITY_POZICIE!$B$41-12*('TCO TO BE- SW'!$D152-1))&lt;0,0,(AKTIVITY_POZICIE!$B$41-12*('TCO TO BE- SW'!$D152-1))*((S$4+'TCO TO BE - HW'!S$4)/($E$4+'TCO TO BE - HW'!$E$4)*SUM(AKTIVITY_POZICIE!$M$41:$M$52)*1.2)/AKTIVITY_POZICIE!$B$41)),0)</f>
        <v>0</v>
      </c>
      <c r="T152" s="577">
        <f>IFERROR(IF((POZICIE_INTERNE!$B$40-12*('TCO TO BE- SW'!$D152-1))&gt;12,((T$4+'TCO TO BE - HW'!T$4)/($E$4+'TCO TO BE - HW'!$E$4)*SUM(POZICIE_INTERNE!$I$40:$I$51))/POZICIE_INTERNE!$B$40*12,IF((POZICIE_INTERNE!$B$40-12*('TCO TO BE- SW'!$D152-1))&lt;0,0,(POZICIE_INTERNE!$B$40-12*('TCO TO BE- SW'!$D152-1))*((T$4+'TCO TO BE - HW'!T$4)/($E$4+'TCO TO BE - HW'!$E$4)*SUM(POZICIE_INTERNE!$I$40:$I$51))/POZICIE_INTERNE!$B$40)),0)+IFERROR(IF((AKTIVITY_POZICIE!$B$41-12*('TCO TO BE- SW'!$D152-1))&gt;12,((T$4+'TCO TO BE - HW'!T$4)/($E$4+'TCO TO BE - HW'!$E$4)*SUM(AKTIVITY_POZICIE!$M$41:$M$52)*1.2)/AKTIVITY_POZICIE!$B$41*12,IF((AKTIVITY_POZICIE!$B$41-12*('TCO TO BE- SW'!$D152-1))&lt;0,0,(AKTIVITY_POZICIE!$B$41-12*('TCO TO BE- SW'!$D152-1))*((T$4+'TCO TO BE - HW'!T$4)/($E$4+'TCO TO BE - HW'!$E$4)*SUM(AKTIVITY_POZICIE!$M$41:$M$52)*1.2)/AKTIVITY_POZICIE!$B$41)),0)</f>
        <v>0</v>
      </c>
      <c r="U152" s="577">
        <f>IFERROR(IF((POZICIE_INTERNE!$B$40-12*('TCO TO BE- SW'!$D152-1))&gt;12,((U$4+'TCO TO BE - HW'!U$4)/($E$4+'TCO TO BE - HW'!$E$4)*SUM(POZICIE_INTERNE!$I$40:$I$51))/POZICIE_INTERNE!$B$40*12,IF((POZICIE_INTERNE!$B$40-12*('TCO TO BE- SW'!$D152-1))&lt;0,0,(POZICIE_INTERNE!$B$40-12*('TCO TO BE- SW'!$D152-1))*((U$4+'TCO TO BE - HW'!U$4)/($E$4+'TCO TO BE - HW'!$E$4)*SUM(POZICIE_INTERNE!$I$40:$I$51))/POZICIE_INTERNE!$B$40)),0)+IFERROR(IF((AKTIVITY_POZICIE!$B$41-12*('TCO TO BE- SW'!$D152-1))&gt;12,((U$4+'TCO TO BE - HW'!U$4)/($E$4+'TCO TO BE - HW'!$E$4)*SUM(AKTIVITY_POZICIE!$M$41:$M$52)*1.2)/AKTIVITY_POZICIE!$B$41*12,IF((AKTIVITY_POZICIE!$B$41-12*('TCO TO BE- SW'!$D152-1))&lt;0,0,(AKTIVITY_POZICIE!$B$41-12*('TCO TO BE- SW'!$D152-1))*((U$4+'TCO TO BE - HW'!U$4)/($E$4+'TCO TO BE - HW'!$E$4)*SUM(AKTIVITY_POZICIE!$M$41:$M$52)*1.2)/AKTIVITY_POZICIE!$B$41)),0)</f>
        <v>0</v>
      </c>
      <c r="V152" s="577">
        <f>IFERROR(IF((POZICIE_INTERNE!$B$40-12*('TCO TO BE- SW'!$D152-1))&gt;12,((V$4+'TCO TO BE - HW'!V$4)/($E$4+'TCO TO BE - HW'!$E$4)*SUM(POZICIE_INTERNE!$I$40:$I$51))/POZICIE_INTERNE!$B$40*12,IF((POZICIE_INTERNE!$B$40-12*('TCO TO BE- SW'!$D152-1))&lt;0,0,(POZICIE_INTERNE!$B$40-12*('TCO TO BE- SW'!$D152-1))*((V$4+'TCO TO BE - HW'!V$4)/($E$4+'TCO TO BE - HW'!$E$4)*SUM(POZICIE_INTERNE!$I$40:$I$51))/POZICIE_INTERNE!$B$40)),0)+IFERROR(IF((AKTIVITY_POZICIE!$B$41-12*('TCO TO BE- SW'!$D152-1))&gt;12,((V$4+'TCO TO BE - HW'!V$4)/($E$4+'TCO TO BE - HW'!$E$4)*SUM(AKTIVITY_POZICIE!$M$41:$M$52)*1.2)/AKTIVITY_POZICIE!$B$41*12,IF((AKTIVITY_POZICIE!$B$41-12*('TCO TO BE- SW'!$D152-1))&lt;0,0,(AKTIVITY_POZICIE!$B$41-12*('TCO TO BE- SW'!$D152-1))*((V$4+'TCO TO BE - HW'!V$4)/($E$4+'TCO TO BE - HW'!$E$4)*SUM(AKTIVITY_POZICIE!$M$41:$M$52)*1.2)/AKTIVITY_POZICIE!$B$41)),0)</f>
        <v>0</v>
      </c>
      <c r="W152" s="577">
        <f>IFERROR(IF((POZICIE_INTERNE!$B$40-12*('TCO TO BE- SW'!$D152-1))&gt;12,((W$4+'TCO TO BE - HW'!W$4)/($E$4+'TCO TO BE - HW'!$E$4)*SUM(POZICIE_INTERNE!$I$40:$I$51))/POZICIE_INTERNE!$B$40*12,IF((POZICIE_INTERNE!$B$40-12*('TCO TO BE- SW'!$D152-1))&lt;0,0,(POZICIE_INTERNE!$B$40-12*('TCO TO BE- SW'!$D152-1))*((W$4+'TCO TO BE - HW'!W$4)/($E$4+'TCO TO BE - HW'!$E$4)*SUM(POZICIE_INTERNE!$I$40:$I$51))/POZICIE_INTERNE!$B$40)),0)+IFERROR(IF((AKTIVITY_POZICIE!$B$41-12*('TCO TO BE- SW'!$D152-1))&gt;12,((W$4+'TCO TO BE - HW'!W$4)/($E$4+'TCO TO BE - HW'!$E$4)*SUM(AKTIVITY_POZICIE!$M$41:$M$52)*1.2)/AKTIVITY_POZICIE!$B$41*12,IF((AKTIVITY_POZICIE!$B$41-12*('TCO TO BE- SW'!$D152-1))&lt;0,0,(AKTIVITY_POZICIE!$B$41-12*('TCO TO BE- SW'!$D152-1))*((W$4+'TCO TO BE - HW'!W$4)/($E$4+'TCO TO BE - HW'!$E$4)*SUM(AKTIVITY_POZICIE!$M$41:$M$52)*1.2)/AKTIVITY_POZICIE!$B$41)),0)</f>
        <v>0</v>
      </c>
      <c r="X152" s="577">
        <f>IFERROR(IF((POZICIE_INTERNE!$B$40-12*('TCO TO BE- SW'!$D152-1))&gt;12,((X$4+'TCO TO BE - HW'!X$4)/($E$4+'TCO TO BE - HW'!$E$4)*SUM(POZICIE_INTERNE!$I$40:$I$51))/POZICIE_INTERNE!$B$40*12,IF((POZICIE_INTERNE!$B$40-12*('TCO TO BE- SW'!$D152-1))&lt;0,0,(POZICIE_INTERNE!$B$40-12*('TCO TO BE- SW'!$D152-1))*((X$4+'TCO TO BE - HW'!X$4)/($E$4+'TCO TO BE - HW'!$E$4)*SUM(POZICIE_INTERNE!$I$40:$I$51))/POZICIE_INTERNE!$B$40)),0)+IFERROR(IF((AKTIVITY_POZICIE!$B$41-12*('TCO TO BE- SW'!$D152-1))&gt;12,((X$4+'TCO TO BE - HW'!X$4)/($E$4+'TCO TO BE - HW'!$E$4)*SUM(AKTIVITY_POZICIE!$M$41:$M$52)*1.2)/AKTIVITY_POZICIE!$B$41*12,IF((AKTIVITY_POZICIE!$B$41-12*('TCO TO BE- SW'!$D152-1))&lt;0,0,(AKTIVITY_POZICIE!$B$41-12*('TCO TO BE- SW'!$D152-1))*((X$4+'TCO TO BE - HW'!X$4)/($E$4+'TCO TO BE - HW'!$E$4)*SUM(AKTIVITY_POZICIE!$M$41:$M$52)*1.2)/AKTIVITY_POZICIE!$B$41)),0)</f>
        <v>0</v>
      </c>
      <c r="Y152" s="577">
        <f>IFERROR(IF((POZICIE_INTERNE!$B$40-12*('TCO TO BE- SW'!$D152-1))&gt;12,((Y$4+'TCO TO BE - HW'!Y$4)/($E$4+'TCO TO BE - HW'!$E$4)*SUM(POZICIE_INTERNE!$I$40:$I$51))/POZICIE_INTERNE!$B$40*12,IF((POZICIE_INTERNE!$B$40-12*('TCO TO BE- SW'!$D152-1))&lt;0,0,(POZICIE_INTERNE!$B$40-12*('TCO TO BE- SW'!$D152-1))*((Y$4+'TCO TO BE - HW'!Y$4)/($E$4+'TCO TO BE - HW'!$E$4)*SUM(POZICIE_INTERNE!$I$40:$I$51))/POZICIE_INTERNE!$B$40)),0)+IFERROR(IF((AKTIVITY_POZICIE!$B$41-12*('TCO TO BE- SW'!$D152-1))&gt;12,((Y$4+'TCO TO BE - HW'!Y$4)/($E$4+'TCO TO BE - HW'!$E$4)*SUM(AKTIVITY_POZICIE!$M$41:$M$52)*1.2)/AKTIVITY_POZICIE!$B$41*12,IF((AKTIVITY_POZICIE!$B$41-12*('TCO TO BE- SW'!$D152-1))&lt;0,0,(AKTIVITY_POZICIE!$B$41-12*('TCO TO BE- SW'!$D152-1))*((Y$4+'TCO TO BE - HW'!Y$4)/($E$4+'TCO TO BE - HW'!$E$4)*SUM(AKTIVITY_POZICIE!$M$41:$M$52)*1.2)/AKTIVITY_POZICIE!$B$41)),0)</f>
        <v>0</v>
      </c>
      <c r="Z152" s="577">
        <f>IFERROR(IF((POZICIE_INTERNE!$B$40-12*('TCO TO BE- SW'!$D152-1))&gt;12,((Z$4+'TCO TO BE - HW'!Z$4)/($E$4+'TCO TO BE - HW'!$E$4)*SUM(POZICIE_INTERNE!$I$40:$I$51))/POZICIE_INTERNE!$B$40*12,IF((POZICIE_INTERNE!$B$40-12*('TCO TO BE- SW'!$D152-1))&lt;0,0,(POZICIE_INTERNE!$B$40-12*('TCO TO BE- SW'!$D152-1))*((Z$4+'TCO TO BE - HW'!Z$4)/($E$4+'TCO TO BE - HW'!$E$4)*SUM(POZICIE_INTERNE!$I$40:$I$51))/POZICIE_INTERNE!$B$40)),0)+IFERROR(IF((AKTIVITY_POZICIE!$B$41-12*('TCO TO BE- SW'!$D152-1))&gt;12,((Z$4+'TCO TO BE - HW'!Z$4)/($E$4+'TCO TO BE - HW'!$E$4)*SUM(AKTIVITY_POZICIE!$M$41:$M$52)*1.2)/AKTIVITY_POZICIE!$B$41*12,IF((AKTIVITY_POZICIE!$B$41-12*('TCO TO BE- SW'!$D152-1))&lt;0,0,(AKTIVITY_POZICIE!$B$41-12*('TCO TO BE- SW'!$D152-1))*((Z$4+'TCO TO BE - HW'!Z$4)/($E$4+'TCO TO BE - HW'!$E$4)*SUM(AKTIVITY_POZICIE!$M$41:$M$52)*1.2)/AKTIVITY_POZICIE!$B$41)),0)</f>
        <v>0</v>
      </c>
    </row>
    <row r="153" spans="1:26">
      <c r="A153" s="824"/>
      <c r="B153" s="825"/>
      <c r="C153" s="825"/>
      <c r="D153" s="64">
        <v>3</v>
      </c>
      <c r="E153" s="68">
        <f t="shared" si="16"/>
        <v>0</v>
      </c>
      <c r="F153" s="577">
        <f>IFERROR(IF((POZICIE_INTERNE!$B$40-12*('TCO TO BE- SW'!$D153-1))&gt;12,((F$4+'TCO TO BE - HW'!F$4)/($E$4+'TCO TO BE - HW'!$E$4)*SUM(POZICIE_INTERNE!$I$40:$I$51))/POZICIE_INTERNE!$B$40*12,IF((POZICIE_INTERNE!$B$40-12*('TCO TO BE- SW'!$D153-1))&lt;0,0,(POZICIE_INTERNE!$B$40-12*('TCO TO BE- SW'!$D153-1))*((F$4+'TCO TO BE - HW'!F$4)/($E$4+'TCO TO BE - HW'!$E$4)*SUM(POZICIE_INTERNE!$I$40:$I$51))/POZICIE_INTERNE!$B$40)),0)+IFERROR(IF((AKTIVITY_POZICIE!$B$41-12*('TCO TO BE- SW'!$D153-1))&gt;12,((F$4+'TCO TO BE - HW'!F$4)/($E$4+'TCO TO BE - HW'!$E$4)*SUM(AKTIVITY_POZICIE!$M$41:$M$52)*1.2)/AKTIVITY_POZICIE!$B$41*12,IF((AKTIVITY_POZICIE!$B$41-12*('TCO TO BE- SW'!$D153-1))&lt;0,0,(AKTIVITY_POZICIE!$B$41-12*('TCO TO BE- SW'!$D153-1))*((F$4+'TCO TO BE - HW'!F$4)/($E$4+'TCO TO BE - HW'!$E$4)*SUM(AKTIVITY_POZICIE!$M$41:$M$52)*1.2)/AKTIVITY_POZICIE!$B$41)),0)</f>
        <v>0</v>
      </c>
      <c r="G153" s="577">
        <f>IFERROR(IF((POZICIE_INTERNE!$B$40-12*('TCO TO BE- SW'!$D153-1))&gt;12,((G$4+'TCO TO BE - HW'!G$4)/($E$4+'TCO TO BE - HW'!$E$4)*SUM(POZICIE_INTERNE!$I$40:$I$51))/POZICIE_INTERNE!$B$40*12,IF((POZICIE_INTERNE!$B$40-12*('TCO TO BE- SW'!$D153-1))&lt;0,0,(POZICIE_INTERNE!$B$40-12*('TCO TO BE- SW'!$D153-1))*((G$4+'TCO TO BE - HW'!G$4)/($E$4+'TCO TO BE - HW'!$E$4)*SUM(POZICIE_INTERNE!$I$40:$I$51))/POZICIE_INTERNE!$B$40)),0)+IFERROR(IF((AKTIVITY_POZICIE!$B$41-12*('TCO TO BE- SW'!$D153-1))&gt;12,((G$4+'TCO TO BE - HW'!G$4)/($E$4+'TCO TO BE - HW'!$E$4)*SUM(AKTIVITY_POZICIE!$M$41:$M$52)*1.2)/AKTIVITY_POZICIE!$B$41*12,IF((AKTIVITY_POZICIE!$B$41-12*('TCO TO BE- SW'!$D153-1))&lt;0,0,(AKTIVITY_POZICIE!$B$41-12*('TCO TO BE- SW'!$D153-1))*((G$4+'TCO TO BE - HW'!G$4)/($E$4+'TCO TO BE - HW'!$E$4)*SUM(AKTIVITY_POZICIE!$M$41:$M$52)*1.2)/AKTIVITY_POZICIE!$B$41)),0)</f>
        <v>0</v>
      </c>
      <c r="H153" s="577">
        <f>IFERROR(IF((POZICIE_INTERNE!$B$40-12*('TCO TO BE- SW'!$D153-1))&gt;12,((H$4+'TCO TO BE - HW'!H$4)/($E$4+'TCO TO BE - HW'!$E$4)*SUM(POZICIE_INTERNE!$I$40:$I$51))/POZICIE_INTERNE!$B$40*12,IF((POZICIE_INTERNE!$B$40-12*('TCO TO BE- SW'!$D153-1))&lt;0,0,(POZICIE_INTERNE!$B$40-12*('TCO TO BE- SW'!$D153-1))*((H$4+'TCO TO BE - HW'!H$4)/($E$4+'TCO TO BE - HW'!$E$4)*SUM(POZICIE_INTERNE!$I$40:$I$51))/POZICIE_INTERNE!$B$40)),0)+IFERROR(IF((AKTIVITY_POZICIE!$B$41-12*('TCO TO BE- SW'!$D153-1))&gt;12,((H$4+'TCO TO BE - HW'!H$4)/($E$4+'TCO TO BE - HW'!$E$4)*SUM(AKTIVITY_POZICIE!$M$41:$M$52)*1.2)/AKTIVITY_POZICIE!$B$41*12,IF((AKTIVITY_POZICIE!$B$41-12*('TCO TO BE- SW'!$D153-1))&lt;0,0,(AKTIVITY_POZICIE!$B$41-12*('TCO TO BE- SW'!$D153-1))*((H$4+'TCO TO BE - HW'!H$4)/($E$4+'TCO TO BE - HW'!$E$4)*SUM(AKTIVITY_POZICIE!$M$41:$M$52)*1.2)/AKTIVITY_POZICIE!$B$41)),0)</f>
        <v>0</v>
      </c>
      <c r="I153" s="577">
        <f>IFERROR(IF((POZICIE_INTERNE!$B$40-12*('TCO TO BE- SW'!$D153-1))&gt;12,((I$4+'TCO TO BE - HW'!I$4)/($E$4+'TCO TO BE - HW'!$E$4)*SUM(POZICIE_INTERNE!$I$40:$I$51))/POZICIE_INTERNE!$B$40*12,IF((POZICIE_INTERNE!$B$40-12*('TCO TO BE- SW'!$D153-1))&lt;0,0,(POZICIE_INTERNE!$B$40-12*('TCO TO BE- SW'!$D153-1))*((I$4+'TCO TO BE - HW'!I$4)/($E$4+'TCO TO BE - HW'!$E$4)*SUM(POZICIE_INTERNE!$I$40:$I$51))/POZICIE_INTERNE!$B$40)),0)+IFERROR(IF((AKTIVITY_POZICIE!$B$41-12*('TCO TO BE- SW'!$D153-1))&gt;12,((I$4+'TCO TO BE - HW'!I$4)/($E$4+'TCO TO BE - HW'!$E$4)*SUM(AKTIVITY_POZICIE!$M$41:$M$52)*1.2)/AKTIVITY_POZICIE!$B$41*12,IF((AKTIVITY_POZICIE!$B$41-12*('TCO TO BE- SW'!$D153-1))&lt;0,0,(AKTIVITY_POZICIE!$B$41-12*('TCO TO BE- SW'!$D153-1))*((I$4+'TCO TO BE - HW'!I$4)/($E$4+'TCO TO BE - HW'!$E$4)*SUM(AKTIVITY_POZICIE!$M$41:$M$52)*1.2)/AKTIVITY_POZICIE!$B$41)),0)</f>
        <v>0</v>
      </c>
      <c r="J153" s="577">
        <f>IFERROR(IF((POZICIE_INTERNE!$B$40-12*('TCO TO BE- SW'!$D153-1))&gt;12,((J$4+'TCO TO BE - HW'!J$4)/($E$4+'TCO TO BE - HW'!$E$4)*SUM(POZICIE_INTERNE!$I$40:$I$51))/POZICIE_INTERNE!$B$40*12,IF((POZICIE_INTERNE!$B$40-12*('TCO TO BE- SW'!$D153-1))&lt;0,0,(POZICIE_INTERNE!$B$40-12*('TCO TO BE- SW'!$D153-1))*((J$4+'TCO TO BE - HW'!J$4)/($E$4+'TCO TO BE - HW'!$E$4)*SUM(POZICIE_INTERNE!$I$40:$I$51))/POZICIE_INTERNE!$B$40)),0)+IFERROR(IF((AKTIVITY_POZICIE!$B$41-12*('TCO TO BE- SW'!$D153-1))&gt;12,((J$4+'TCO TO BE - HW'!J$4)/($E$4+'TCO TO BE - HW'!$E$4)*SUM(AKTIVITY_POZICIE!$M$41:$M$52)*1.2)/AKTIVITY_POZICIE!$B$41*12,IF((AKTIVITY_POZICIE!$B$41-12*('TCO TO BE- SW'!$D153-1))&lt;0,0,(AKTIVITY_POZICIE!$B$41-12*('TCO TO BE- SW'!$D153-1))*((J$4+'TCO TO BE - HW'!J$4)/($E$4+'TCO TO BE - HW'!$E$4)*SUM(AKTIVITY_POZICIE!$M$41:$M$52)*1.2)/AKTIVITY_POZICIE!$B$41)),0)</f>
        <v>0</v>
      </c>
      <c r="K153" s="577">
        <f>IFERROR(IF((POZICIE_INTERNE!$B$40-12*('TCO TO BE- SW'!$D153-1))&gt;12,((K$4+'TCO TO BE - HW'!K$4)/($E$4+'TCO TO BE - HW'!$E$4)*SUM(POZICIE_INTERNE!$I$40:$I$51))/POZICIE_INTERNE!$B$40*12,IF((POZICIE_INTERNE!$B$40-12*('TCO TO BE- SW'!$D153-1))&lt;0,0,(POZICIE_INTERNE!$B$40-12*('TCO TO BE- SW'!$D153-1))*((K$4+'TCO TO BE - HW'!K$4)/($E$4+'TCO TO BE - HW'!$E$4)*SUM(POZICIE_INTERNE!$I$40:$I$51))/POZICIE_INTERNE!$B$40)),0)+IFERROR(IF((AKTIVITY_POZICIE!$B$41-12*('TCO TO BE- SW'!$D153-1))&gt;12,((K$4+'TCO TO BE - HW'!K$4)/($E$4+'TCO TO BE - HW'!$E$4)*SUM(AKTIVITY_POZICIE!$M$41:$M$52)*1.2)/AKTIVITY_POZICIE!$B$41*12,IF((AKTIVITY_POZICIE!$B$41-12*('TCO TO BE- SW'!$D153-1))&lt;0,0,(AKTIVITY_POZICIE!$B$41-12*('TCO TO BE- SW'!$D153-1))*((K$4+'TCO TO BE - HW'!K$4)/($E$4+'TCO TO BE - HW'!$E$4)*SUM(AKTIVITY_POZICIE!$M$41:$M$52)*1.2)/AKTIVITY_POZICIE!$B$41)),0)</f>
        <v>0</v>
      </c>
      <c r="L153" s="577">
        <f>IFERROR(IF((POZICIE_INTERNE!$B$40-12*('TCO TO BE- SW'!$D153-1))&gt;12,((L$4+'TCO TO BE - HW'!L$4)/($E$4+'TCO TO BE - HW'!$E$4)*SUM(POZICIE_INTERNE!$I$40:$I$51))/POZICIE_INTERNE!$B$40*12,IF((POZICIE_INTERNE!$B$40-12*('TCO TO BE- SW'!$D153-1))&lt;0,0,(POZICIE_INTERNE!$B$40-12*('TCO TO BE- SW'!$D153-1))*((L$4+'TCO TO BE - HW'!L$4)/($E$4+'TCO TO BE - HW'!$E$4)*SUM(POZICIE_INTERNE!$I$40:$I$51))/POZICIE_INTERNE!$B$40)),0)+IFERROR(IF((AKTIVITY_POZICIE!$B$41-12*('TCO TO BE- SW'!$D153-1))&gt;12,((L$4+'TCO TO BE - HW'!L$4)/($E$4+'TCO TO BE - HW'!$E$4)*SUM(AKTIVITY_POZICIE!$M$41:$M$52)*1.2)/AKTIVITY_POZICIE!$B$41*12,IF((AKTIVITY_POZICIE!$B$41-12*('TCO TO BE- SW'!$D153-1))&lt;0,0,(AKTIVITY_POZICIE!$B$41-12*('TCO TO BE- SW'!$D153-1))*((L$4+'TCO TO BE - HW'!L$4)/($E$4+'TCO TO BE - HW'!$E$4)*SUM(AKTIVITY_POZICIE!$M$41:$M$52)*1.2)/AKTIVITY_POZICIE!$B$41)),0)</f>
        <v>0</v>
      </c>
      <c r="M153" s="577">
        <f>IFERROR(IF((POZICIE_INTERNE!$B$40-12*('TCO TO BE- SW'!$D153-1))&gt;12,((M$4+'TCO TO BE - HW'!M$4)/($E$4+'TCO TO BE - HW'!$E$4)*SUM(POZICIE_INTERNE!$I$40:$I$51))/POZICIE_INTERNE!$B$40*12,IF((POZICIE_INTERNE!$B$40-12*('TCO TO BE- SW'!$D153-1))&lt;0,0,(POZICIE_INTERNE!$B$40-12*('TCO TO BE- SW'!$D153-1))*((M$4+'TCO TO BE - HW'!M$4)/($E$4+'TCO TO BE - HW'!$E$4)*SUM(POZICIE_INTERNE!$I$40:$I$51))/POZICIE_INTERNE!$B$40)),0)+IFERROR(IF((AKTIVITY_POZICIE!$B$41-12*('TCO TO BE- SW'!$D153-1))&gt;12,((M$4+'TCO TO BE - HW'!M$4)/($E$4+'TCO TO BE - HW'!$E$4)*SUM(AKTIVITY_POZICIE!$M$41:$M$52)*1.2)/AKTIVITY_POZICIE!$B$41*12,IF((AKTIVITY_POZICIE!$B$41-12*('TCO TO BE- SW'!$D153-1))&lt;0,0,(AKTIVITY_POZICIE!$B$41-12*('TCO TO BE- SW'!$D153-1))*((M$4+'TCO TO BE - HW'!M$4)/($E$4+'TCO TO BE - HW'!$E$4)*SUM(AKTIVITY_POZICIE!$M$41:$M$52)*1.2)/AKTIVITY_POZICIE!$B$41)),0)</f>
        <v>0</v>
      </c>
      <c r="N153" s="577">
        <f>IFERROR(IF((POZICIE_INTERNE!$B$40-12*('TCO TO BE- SW'!$D153-1))&gt;12,((N$4+'TCO TO BE - HW'!N$4)/($E$4+'TCO TO BE - HW'!$E$4)*SUM(POZICIE_INTERNE!$I$40:$I$51))/POZICIE_INTERNE!$B$40*12,IF((POZICIE_INTERNE!$B$40-12*('TCO TO BE- SW'!$D153-1))&lt;0,0,(POZICIE_INTERNE!$B$40-12*('TCO TO BE- SW'!$D153-1))*((N$4+'TCO TO BE - HW'!N$4)/($E$4+'TCO TO BE - HW'!$E$4)*SUM(POZICIE_INTERNE!$I$40:$I$51))/POZICIE_INTERNE!$B$40)),0)+IFERROR(IF((AKTIVITY_POZICIE!$B$41-12*('TCO TO BE- SW'!$D153-1))&gt;12,((N$4+'TCO TO BE - HW'!N$4)/($E$4+'TCO TO BE - HW'!$E$4)*SUM(AKTIVITY_POZICIE!$M$41:$M$52)*1.2)/AKTIVITY_POZICIE!$B$41*12,IF((AKTIVITY_POZICIE!$B$41-12*('TCO TO BE- SW'!$D153-1))&lt;0,0,(AKTIVITY_POZICIE!$B$41-12*('TCO TO BE- SW'!$D153-1))*((N$4+'TCO TO BE - HW'!N$4)/($E$4+'TCO TO BE - HW'!$E$4)*SUM(AKTIVITY_POZICIE!$M$41:$M$52)*1.2)/AKTIVITY_POZICIE!$B$41)),0)</f>
        <v>0</v>
      </c>
      <c r="O153" s="577">
        <f>IFERROR(IF((POZICIE_INTERNE!$B$40-12*('TCO TO BE- SW'!$D153-1))&gt;12,((O$4+'TCO TO BE - HW'!O$4)/($E$4+'TCO TO BE - HW'!$E$4)*SUM(POZICIE_INTERNE!$I$40:$I$51))/POZICIE_INTERNE!$B$40*12,IF((POZICIE_INTERNE!$B$40-12*('TCO TO BE- SW'!$D153-1))&lt;0,0,(POZICIE_INTERNE!$B$40-12*('TCO TO BE- SW'!$D153-1))*((O$4+'TCO TO BE - HW'!O$4)/($E$4+'TCO TO BE - HW'!$E$4)*SUM(POZICIE_INTERNE!$I$40:$I$51))/POZICIE_INTERNE!$B$40)),0)+IFERROR(IF((AKTIVITY_POZICIE!$B$41-12*('TCO TO BE- SW'!$D153-1))&gt;12,((O$4+'TCO TO BE - HW'!O$4)/($E$4+'TCO TO BE - HW'!$E$4)*SUM(AKTIVITY_POZICIE!$M$41:$M$52)*1.2)/AKTIVITY_POZICIE!$B$41*12,IF((AKTIVITY_POZICIE!$B$41-12*('TCO TO BE- SW'!$D153-1))&lt;0,0,(AKTIVITY_POZICIE!$B$41-12*('TCO TO BE- SW'!$D153-1))*((O$4+'TCO TO BE - HW'!O$4)/($E$4+'TCO TO BE - HW'!$E$4)*SUM(AKTIVITY_POZICIE!$M$41:$M$52)*1.2)/AKTIVITY_POZICIE!$B$41)),0)</f>
        <v>0</v>
      </c>
      <c r="P153" s="577">
        <f>IFERROR(IF((POZICIE_INTERNE!$B$40-12*('TCO TO BE- SW'!$D153-1))&gt;12,((P$4+'TCO TO BE - HW'!P$4)/($E$4+'TCO TO BE - HW'!$E$4)*SUM(POZICIE_INTERNE!$I$40:$I$51))/POZICIE_INTERNE!$B$40*12,IF((POZICIE_INTERNE!$B$40-12*('TCO TO BE- SW'!$D153-1))&lt;0,0,(POZICIE_INTERNE!$B$40-12*('TCO TO BE- SW'!$D153-1))*((P$4+'TCO TO BE - HW'!P$4)/($E$4+'TCO TO BE - HW'!$E$4)*SUM(POZICIE_INTERNE!$I$40:$I$51))/POZICIE_INTERNE!$B$40)),0)+IFERROR(IF((AKTIVITY_POZICIE!$B$41-12*('TCO TO BE- SW'!$D153-1))&gt;12,((P$4+'TCO TO BE - HW'!P$4)/($E$4+'TCO TO BE - HW'!$E$4)*SUM(AKTIVITY_POZICIE!$M$41:$M$52)*1.2)/AKTIVITY_POZICIE!$B$41*12,IF((AKTIVITY_POZICIE!$B$41-12*('TCO TO BE- SW'!$D153-1))&lt;0,0,(AKTIVITY_POZICIE!$B$41-12*('TCO TO BE- SW'!$D153-1))*((P$4+'TCO TO BE - HW'!P$4)/($E$4+'TCO TO BE - HW'!$E$4)*SUM(AKTIVITY_POZICIE!$M$41:$M$52)*1.2)/AKTIVITY_POZICIE!$B$41)),0)</f>
        <v>0</v>
      </c>
      <c r="Q153" s="577">
        <f>IFERROR(IF((POZICIE_INTERNE!$B$40-12*('TCO TO BE- SW'!$D153-1))&gt;12,((Q$4+'TCO TO BE - HW'!Q$4)/($E$4+'TCO TO BE - HW'!$E$4)*SUM(POZICIE_INTERNE!$I$40:$I$51))/POZICIE_INTERNE!$B$40*12,IF((POZICIE_INTERNE!$B$40-12*('TCO TO BE- SW'!$D153-1))&lt;0,0,(POZICIE_INTERNE!$B$40-12*('TCO TO BE- SW'!$D153-1))*((Q$4+'TCO TO BE - HW'!Q$4)/($E$4+'TCO TO BE - HW'!$E$4)*SUM(POZICIE_INTERNE!$I$40:$I$51))/POZICIE_INTERNE!$B$40)),0)+IFERROR(IF((AKTIVITY_POZICIE!$B$41-12*('TCO TO BE- SW'!$D153-1))&gt;12,((Q$4+'TCO TO BE - HW'!Q$4)/($E$4+'TCO TO BE - HW'!$E$4)*SUM(AKTIVITY_POZICIE!$M$41:$M$52)*1.2)/AKTIVITY_POZICIE!$B$41*12,IF((AKTIVITY_POZICIE!$B$41-12*('TCO TO BE- SW'!$D153-1))&lt;0,0,(AKTIVITY_POZICIE!$B$41-12*('TCO TO BE- SW'!$D153-1))*((Q$4+'TCO TO BE - HW'!Q$4)/($E$4+'TCO TO BE - HW'!$E$4)*SUM(AKTIVITY_POZICIE!$M$41:$M$52)*1.2)/AKTIVITY_POZICIE!$B$41)),0)</f>
        <v>0</v>
      </c>
      <c r="R153" s="577">
        <f>IFERROR(IF((POZICIE_INTERNE!$B$40-12*('TCO TO BE- SW'!$D153-1))&gt;12,((R$4+'TCO TO BE - HW'!R$4)/($E$4+'TCO TO BE - HW'!$E$4)*SUM(POZICIE_INTERNE!$I$40:$I$51))/POZICIE_INTERNE!$B$40*12,IF((POZICIE_INTERNE!$B$40-12*('TCO TO BE- SW'!$D153-1))&lt;0,0,(POZICIE_INTERNE!$B$40-12*('TCO TO BE- SW'!$D153-1))*((R$4+'TCO TO BE - HW'!R$4)/($E$4+'TCO TO BE - HW'!$E$4)*SUM(POZICIE_INTERNE!$I$40:$I$51))/POZICIE_INTERNE!$B$40)),0)+IFERROR(IF((AKTIVITY_POZICIE!$B$41-12*('TCO TO BE- SW'!$D153-1))&gt;12,((R$4+'TCO TO BE - HW'!R$4)/($E$4+'TCO TO BE - HW'!$E$4)*SUM(AKTIVITY_POZICIE!$M$41:$M$52)*1.2)/AKTIVITY_POZICIE!$B$41*12,IF((AKTIVITY_POZICIE!$B$41-12*('TCO TO BE- SW'!$D153-1))&lt;0,0,(AKTIVITY_POZICIE!$B$41-12*('TCO TO BE- SW'!$D153-1))*((R$4+'TCO TO BE - HW'!R$4)/($E$4+'TCO TO BE - HW'!$E$4)*SUM(AKTIVITY_POZICIE!$M$41:$M$52)*1.2)/AKTIVITY_POZICIE!$B$41)),0)</f>
        <v>0</v>
      </c>
      <c r="S153" s="577">
        <f>IFERROR(IF((POZICIE_INTERNE!$B$40-12*('TCO TO BE- SW'!$D153-1))&gt;12,((S$4+'TCO TO BE - HW'!S$4)/($E$4+'TCO TO BE - HW'!$E$4)*SUM(POZICIE_INTERNE!$I$40:$I$51))/POZICIE_INTERNE!$B$40*12,IF((POZICIE_INTERNE!$B$40-12*('TCO TO BE- SW'!$D153-1))&lt;0,0,(POZICIE_INTERNE!$B$40-12*('TCO TO BE- SW'!$D153-1))*((S$4+'TCO TO BE - HW'!S$4)/($E$4+'TCO TO BE - HW'!$E$4)*SUM(POZICIE_INTERNE!$I$40:$I$51))/POZICIE_INTERNE!$B$40)),0)+IFERROR(IF((AKTIVITY_POZICIE!$B$41-12*('TCO TO BE- SW'!$D153-1))&gt;12,((S$4+'TCO TO BE - HW'!S$4)/($E$4+'TCO TO BE - HW'!$E$4)*SUM(AKTIVITY_POZICIE!$M$41:$M$52)*1.2)/AKTIVITY_POZICIE!$B$41*12,IF((AKTIVITY_POZICIE!$B$41-12*('TCO TO BE- SW'!$D153-1))&lt;0,0,(AKTIVITY_POZICIE!$B$41-12*('TCO TO BE- SW'!$D153-1))*((S$4+'TCO TO BE - HW'!S$4)/($E$4+'TCO TO BE - HW'!$E$4)*SUM(AKTIVITY_POZICIE!$M$41:$M$52)*1.2)/AKTIVITY_POZICIE!$B$41)),0)</f>
        <v>0</v>
      </c>
      <c r="T153" s="577">
        <f>IFERROR(IF((POZICIE_INTERNE!$B$40-12*('TCO TO BE- SW'!$D153-1))&gt;12,((T$4+'TCO TO BE - HW'!T$4)/($E$4+'TCO TO BE - HW'!$E$4)*SUM(POZICIE_INTERNE!$I$40:$I$51))/POZICIE_INTERNE!$B$40*12,IF((POZICIE_INTERNE!$B$40-12*('TCO TO BE- SW'!$D153-1))&lt;0,0,(POZICIE_INTERNE!$B$40-12*('TCO TO BE- SW'!$D153-1))*((T$4+'TCO TO BE - HW'!T$4)/($E$4+'TCO TO BE - HW'!$E$4)*SUM(POZICIE_INTERNE!$I$40:$I$51))/POZICIE_INTERNE!$B$40)),0)+IFERROR(IF((AKTIVITY_POZICIE!$B$41-12*('TCO TO BE- SW'!$D153-1))&gt;12,((T$4+'TCO TO BE - HW'!T$4)/($E$4+'TCO TO BE - HW'!$E$4)*SUM(AKTIVITY_POZICIE!$M$41:$M$52)*1.2)/AKTIVITY_POZICIE!$B$41*12,IF((AKTIVITY_POZICIE!$B$41-12*('TCO TO BE- SW'!$D153-1))&lt;0,0,(AKTIVITY_POZICIE!$B$41-12*('TCO TO BE- SW'!$D153-1))*((T$4+'TCO TO BE - HW'!T$4)/($E$4+'TCO TO BE - HW'!$E$4)*SUM(AKTIVITY_POZICIE!$M$41:$M$52)*1.2)/AKTIVITY_POZICIE!$B$41)),0)</f>
        <v>0</v>
      </c>
      <c r="U153" s="577">
        <f>IFERROR(IF((POZICIE_INTERNE!$B$40-12*('TCO TO BE- SW'!$D153-1))&gt;12,((U$4+'TCO TO BE - HW'!U$4)/($E$4+'TCO TO BE - HW'!$E$4)*SUM(POZICIE_INTERNE!$I$40:$I$51))/POZICIE_INTERNE!$B$40*12,IF((POZICIE_INTERNE!$B$40-12*('TCO TO BE- SW'!$D153-1))&lt;0,0,(POZICIE_INTERNE!$B$40-12*('TCO TO BE- SW'!$D153-1))*((U$4+'TCO TO BE - HW'!U$4)/($E$4+'TCO TO BE - HW'!$E$4)*SUM(POZICIE_INTERNE!$I$40:$I$51))/POZICIE_INTERNE!$B$40)),0)+IFERROR(IF((AKTIVITY_POZICIE!$B$41-12*('TCO TO BE- SW'!$D153-1))&gt;12,((U$4+'TCO TO BE - HW'!U$4)/($E$4+'TCO TO BE - HW'!$E$4)*SUM(AKTIVITY_POZICIE!$M$41:$M$52)*1.2)/AKTIVITY_POZICIE!$B$41*12,IF((AKTIVITY_POZICIE!$B$41-12*('TCO TO BE- SW'!$D153-1))&lt;0,0,(AKTIVITY_POZICIE!$B$41-12*('TCO TO BE- SW'!$D153-1))*((U$4+'TCO TO BE - HW'!U$4)/($E$4+'TCO TO BE - HW'!$E$4)*SUM(AKTIVITY_POZICIE!$M$41:$M$52)*1.2)/AKTIVITY_POZICIE!$B$41)),0)</f>
        <v>0</v>
      </c>
      <c r="V153" s="577">
        <f>IFERROR(IF((POZICIE_INTERNE!$B$40-12*('TCO TO BE- SW'!$D153-1))&gt;12,((V$4+'TCO TO BE - HW'!V$4)/($E$4+'TCO TO BE - HW'!$E$4)*SUM(POZICIE_INTERNE!$I$40:$I$51))/POZICIE_INTERNE!$B$40*12,IF((POZICIE_INTERNE!$B$40-12*('TCO TO BE- SW'!$D153-1))&lt;0,0,(POZICIE_INTERNE!$B$40-12*('TCO TO BE- SW'!$D153-1))*((V$4+'TCO TO BE - HW'!V$4)/($E$4+'TCO TO BE - HW'!$E$4)*SUM(POZICIE_INTERNE!$I$40:$I$51))/POZICIE_INTERNE!$B$40)),0)+IFERROR(IF((AKTIVITY_POZICIE!$B$41-12*('TCO TO BE- SW'!$D153-1))&gt;12,((V$4+'TCO TO BE - HW'!V$4)/($E$4+'TCO TO BE - HW'!$E$4)*SUM(AKTIVITY_POZICIE!$M$41:$M$52)*1.2)/AKTIVITY_POZICIE!$B$41*12,IF((AKTIVITY_POZICIE!$B$41-12*('TCO TO BE- SW'!$D153-1))&lt;0,0,(AKTIVITY_POZICIE!$B$41-12*('TCO TO BE- SW'!$D153-1))*((V$4+'TCO TO BE - HW'!V$4)/($E$4+'TCO TO BE - HW'!$E$4)*SUM(AKTIVITY_POZICIE!$M$41:$M$52)*1.2)/AKTIVITY_POZICIE!$B$41)),0)</f>
        <v>0</v>
      </c>
      <c r="W153" s="577">
        <f>IFERROR(IF((POZICIE_INTERNE!$B$40-12*('TCO TO BE- SW'!$D153-1))&gt;12,((W$4+'TCO TO BE - HW'!W$4)/($E$4+'TCO TO BE - HW'!$E$4)*SUM(POZICIE_INTERNE!$I$40:$I$51))/POZICIE_INTERNE!$B$40*12,IF((POZICIE_INTERNE!$B$40-12*('TCO TO BE- SW'!$D153-1))&lt;0,0,(POZICIE_INTERNE!$B$40-12*('TCO TO BE- SW'!$D153-1))*((W$4+'TCO TO BE - HW'!W$4)/($E$4+'TCO TO BE - HW'!$E$4)*SUM(POZICIE_INTERNE!$I$40:$I$51))/POZICIE_INTERNE!$B$40)),0)+IFERROR(IF((AKTIVITY_POZICIE!$B$41-12*('TCO TO BE- SW'!$D153-1))&gt;12,((W$4+'TCO TO BE - HW'!W$4)/($E$4+'TCO TO BE - HW'!$E$4)*SUM(AKTIVITY_POZICIE!$M$41:$M$52)*1.2)/AKTIVITY_POZICIE!$B$41*12,IF((AKTIVITY_POZICIE!$B$41-12*('TCO TO BE- SW'!$D153-1))&lt;0,0,(AKTIVITY_POZICIE!$B$41-12*('TCO TO BE- SW'!$D153-1))*((W$4+'TCO TO BE - HW'!W$4)/($E$4+'TCO TO BE - HW'!$E$4)*SUM(AKTIVITY_POZICIE!$M$41:$M$52)*1.2)/AKTIVITY_POZICIE!$B$41)),0)</f>
        <v>0</v>
      </c>
      <c r="X153" s="577">
        <f>IFERROR(IF((POZICIE_INTERNE!$B$40-12*('TCO TO BE- SW'!$D153-1))&gt;12,((X$4+'TCO TO BE - HW'!X$4)/($E$4+'TCO TO BE - HW'!$E$4)*SUM(POZICIE_INTERNE!$I$40:$I$51))/POZICIE_INTERNE!$B$40*12,IF((POZICIE_INTERNE!$B$40-12*('TCO TO BE- SW'!$D153-1))&lt;0,0,(POZICIE_INTERNE!$B$40-12*('TCO TO BE- SW'!$D153-1))*((X$4+'TCO TO BE - HW'!X$4)/($E$4+'TCO TO BE - HW'!$E$4)*SUM(POZICIE_INTERNE!$I$40:$I$51))/POZICIE_INTERNE!$B$40)),0)+IFERROR(IF((AKTIVITY_POZICIE!$B$41-12*('TCO TO BE- SW'!$D153-1))&gt;12,((X$4+'TCO TO BE - HW'!X$4)/($E$4+'TCO TO BE - HW'!$E$4)*SUM(AKTIVITY_POZICIE!$M$41:$M$52)*1.2)/AKTIVITY_POZICIE!$B$41*12,IF((AKTIVITY_POZICIE!$B$41-12*('TCO TO BE- SW'!$D153-1))&lt;0,0,(AKTIVITY_POZICIE!$B$41-12*('TCO TO BE- SW'!$D153-1))*((X$4+'TCO TO BE - HW'!X$4)/($E$4+'TCO TO BE - HW'!$E$4)*SUM(AKTIVITY_POZICIE!$M$41:$M$52)*1.2)/AKTIVITY_POZICIE!$B$41)),0)</f>
        <v>0</v>
      </c>
      <c r="Y153" s="577">
        <f>IFERROR(IF((POZICIE_INTERNE!$B$40-12*('TCO TO BE- SW'!$D153-1))&gt;12,((Y$4+'TCO TO BE - HW'!Y$4)/($E$4+'TCO TO BE - HW'!$E$4)*SUM(POZICIE_INTERNE!$I$40:$I$51))/POZICIE_INTERNE!$B$40*12,IF((POZICIE_INTERNE!$B$40-12*('TCO TO BE- SW'!$D153-1))&lt;0,0,(POZICIE_INTERNE!$B$40-12*('TCO TO BE- SW'!$D153-1))*((Y$4+'TCO TO BE - HW'!Y$4)/($E$4+'TCO TO BE - HW'!$E$4)*SUM(POZICIE_INTERNE!$I$40:$I$51))/POZICIE_INTERNE!$B$40)),0)+IFERROR(IF((AKTIVITY_POZICIE!$B$41-12*('TCO TO BE- SW'!$D153-1))&gt;12,((Y$4+'TCO TO BE - HW'!Y$4)/($E$4+'TCO TO BE - HW'!$E$4)*SUM(AKTIVITY_POZICIE!$M$41:$M$52)*1.2)/AKTIVITY_POZICIE!$B$41*12,IF((AKTIVITY_POZICIE!$B$41-12*('TCO TO BE- SW'!$D153-1))&lt;0,0,(AKTIVITY_POZICIE!$B$41-12*('TCO TO BE- SW'!$D153-1))*((Y$4+'TCO TO BE - HW'!Y$4)/($E$4+'TCO TO BE - HW'!$E$4)*SUM(AKTIVITY_POZICIE!$M$41:$M$52)*1.2)/AKTIVITY_POZICIE!$B$41)),0)</f>
        <v>0</v>
      </c>
      <c r="Z153" s="577">
        <f>IFERROR(IF((POZICIE_INTERNE!$B$40-12*('TCO TO BE- SW'!$D153-1))&gt;12,((Z$4+'TCO TO BE - HW'!Z$4)/($E$4+'TCO TO BE - HW'!$E$4)*SUM(POZICIE_INTERNE!$I$40:$I$51))/POZICIE_INTERNE!$B$40*12,IF((POZICIE_INTERNE!$B$40-12*('TCO TO BE- SW'!$D153-1))&lt;0,0,(POZICIE_INTERNE!$B$40-12*('TCO TO BE- SW'!$D153-1))*((Z$4+'TCO TO BE - HW'!Z$4)/($E$4+'TCO TO BE - HW'!$E$4)*SUM(POZICIE_INTERNE!$I$40:$I$51))/POZICIE_INTERNE!$B$40)),0)+IFERROR(IF((AKTIVITY_POZICIE!$B$41-12*('TCO TO BE- SW'!$D153-1))&gt;12,((Z$4+'TCO TO BE - HW'!Z$4)/($E$4+'TCO TO BE - HW'!$E$4)*SUM(AKTIVITY_POZICIE!$M$41:$M$52)*1.2)/AKTIVITY_POZICIE!$B$41*12,IF((AKTIVITY_POZICIE!$B$41-12*('TCO TO BE- SW'!$D153-1))&lt;0,0,(AKTIVITY_POZICIE!$B$41-12*('TCO TO BE- SW'!$D153-1))*((Z$4+'TCO TO BE - HW'!Z$4)/($E$4+'TCO TO BE - HW'!$E$4)*SUM(AKTIVITY_POZICIE!$M$41:$M$52)*1.2)/AKTIVITY_POZICIE!$B$41)),0)</f>
        <v>0</v>
      </c>
    </row>
    <row r="154" spans="1:26">
      <c r="A154" s="824"/>
      <c r="B154" s="825"/>
      <c r="C154" s="825"/>
      <c r="D154" s="64">
        <v>4</v>
      </c>
      <c r="E154" s="68">
        <f t="shared" si="16"/>
        <v>0</v>
      </c>
      <c r="F154" s="577">
        <f>IFERROR(IF((POZICIE_INTERNE!$B$40-12*('TCO TO BE- SW'!$D154-1))&gt;12,((F$4+'TCO TO BE - HW'!F$4)/($E$4+'TCO TO BE - HW'!$E$4)*SUM(POZICIE_INTERNE!$I$40:$I$51))/POZICIE_INTERNE!$B$40*12,IF((POZICIE_INTERNE!$B$40-12*('TCO TO BE- SW'!$D154-1))&lt;0,0,(POZICIE_INTERNE!$B$40-12*('TCO TO BE- SW'!$D154-1))*((F$4+'TCO TO BE - HW'!F$4)/($E$4+'TCO TO BE - HW'!$E$4)*SUM(POZICIE_INTERNE!$I$40:$I$51))/POZICIE_INTERNE!$B$40)),0)+IFERROR(IF((AKTIVITY_POZICIE!$B$41-12*('TCO TO BE- SW'!$D154-1))&gt;12,((F$4+'TCO TO BE - HW'!F$4)/($E$4+'TCO TO BE - HW'!$E$4)*SUM(AKTIVITY_POZICIE!$M$41:$M$52)*1.2)/AKTIVITY_POZICIE!$B$41*12,IF((AKTIVITY_POZICIE!$B$41-12*('TCO TO BE- SW'!$D154-1))&lt;0,0,(AKTIVITY_POZICIE!$B$41-12*('TCO TO BE- SW'!$D154-1))*((F$4+'TCO TO BE - HW'!F$4)/($E$4+'TCO TO BE - HW'!$E$4)*SUM(AKTIVITY_POZICIE!$M$41:$M$52)*1.2)/AKTIVITY_POZICIE!$B$41)),0)</f>
        <v>0</v>
      </c>
      <c r="G154" s="577">
        <f>IFERROR(IF((POZICIE_INTERNE!$B$40-12*('TCO TO BE- SW'!$D154-1))&gt;12,((G$4+'TCO TO BE - HW'!G$4)/($E$4+'TCO TO BE - HW'!$E$4)*SUM(POZICIE_INTERNE!$I$40:$I$51))/POZICIE_INTERNE!$B$40*12,IF((POZICIE_INTERNE!$B$40-12*('TCO TO BE- SW'!$D154-1))&lt;0,0,(POZICIE_INTERNE!$B$40-12*('TCO TO BE- SW'!$D154-1))*((G$4+'TCO TO BE - HW'!G$4)/($E$4+'TCO TO BE - HW'!$E$4)*SUM(POZICIE_INTERNE!$I$40:$I$51))/POZICIE_INTERNE!$B$40)),0)+IFERROR(IF((AKTIVITY_POZICIE!$B$41-12*('TCO TO BE- SW'!$D154-1))&gt;12,((G$4+'TCO TO BE - HW'!G$4)/($E$4+'TCO TO BE - HW'!$E$4)*SUM(AKTIVITY_POZICIE!$M$41:$M$52)*1.2)/AKTIVITY_POZICIE!$B$41*12,IF((AKTIVITY_POZICIE!$B$41-12*('TCO TO BE- SW'!$D154-1))&lt;0,0,(AKTIVITY_POZICIE!$B$41-12*('TCO TO BE- SW'!$D154-1))*((G$4+'TCO TO BE - HW'!G$4)/($E$4+'TCO TO BE - HW'!$E$4)*SUM(AKTIVITY_POZICIE!$M$41:$M$52)*1.2)/AKTIVITY_POZICIE!$B$41)),0)</f>
        <v>0</v>
      </c>
      <c r="H154" s="577">
        <f>IFERROR(IF((POZICIE_INTERNE!$B$40-12*('TCO TO BE- SW'!$D154-1))&gt;12,((H$4+'TCO TO BE - HW'!H$4)/($E$4+'TCO TO BE - HW'!$E$4)*SUM(POZICIE_INTERNE!$I$40:$I$51))/POZICIE_INTERNE!$B$40*12,IF((POZICIE_INTERNE!$B$40-12*('TCO TO BE- SW'!$D154-1))&lt;0,0,(POZICIE_INTERNE!$B$40-12*('TCO TO BE- SW'!$D154-1))*((H$4+'TCO TO BE - HW'!H$4)/($E$4+'TCO TO BE - HW'!$E$4)*SUM(POZICIE_INTERNE!$I$40:$I$51))/POZICIE_INTERNE!$B$40)),0)+IFERROR(IF((AKTIVITY_POZICIE!$B$41-12*('TCO TO BE- SW'!$D154-1))&gt;12,((H$4+'TCO TO BE - HW'!H$4)/($E$4+'TCO TO BE - HW'!$E$4)*SUM(AKTIVITY_POZICIE!$M$41:$M$52)*1.2)/AKTIVITY_POZICIE!$B$41*12,IF((AKTIVITY_POZICIE!$B$41-12*('TCO TO BE- SW'!$D154-1))&lt;0,0,(AKTIVITY_POZICIE!$B$41-12*('TCO TO BE- SW'!$D154-1))*((H$4+'TCO TO BE - HW'!H$4)/($E$4+'TCO TO BE - HW'!$E$4)*SUM(AKTIVITY_POZICIE!$M$41:$M$52)*1.2)/AKTIVITY_POZICIE!$B$41)),0)</f>
        <v>0</v>
      </c>
      <c r="I154" s="577">
        <f>IFERROR(IF((POZICIE_INTERNE!$B$40-12*('TCO TO BE- SW'!$D154-1))&gt;12,((I$4+'TCO TO BE - HW'!I$4)/($E$4+'TCO TO BE - HW'!$E$4)*SUM(POZICIE_INTERNE!$I$40:$I$51))/POZICIE_INTERNE!$B$40*12,IF((POZICIE_INTERNE!$B$40-12*('TCO TO BE- SW'!$D154-1))&lt;0,0,(POZICIE_INTERNE!$B$40-12*('TCO TO BE- SW'!$D154-1))*((I$4+'TCO TO BE - HW'!I$4)/($E$4+'TCO TO BE - HW'!$E$4)*SUM(POZICIE_INTERNE!$I$40:$I$51))/POZICIE_INTERNE!$B$40)),0)+IFERROR(IF((AKTIVITY_POZICIE!$B$41-12*('TCO TO BE- SW'!$D154-1))&gt;12,((I$4+'TCO TO BE - HW'!I$4)/($E$4+'TCO TO BE - HW'!$E$4)*SUM(AKTIVITY_POZICIE!$M$41:$M$52)*1.2)/AKTIVITY_POZICIE!$B$41*12,IF((AKTIVITY_POZICIE!$B$41-12*('TCO TO BE- SW'!$D154-1))&lt;0,0,(AKTIVITY_POZICIE!$B$41-12*('TCO TO BE- SW'!$D154-1))*((I$4+'TCO TO BE - HW'!I$4)/($E$4+'TCO TO BE - HW'!$E$4)*SUM(AKTIVITY_POZICIE!$M$41:$M$52)*1.2)/AKTIVITY_POZICIE!$B$41)),0)</f>
        <v>0</v>
      </c>
      <c r="J154" s="577">
        <f>IFERROR(IF((POZICIE_INTERNE!$B$40-12*('TCO TO BE- SW'!$D154-1))&gt;12,((J$4+'TCO TO BE - HW'!J$4)/($E$4+'TCO TO BE - HW'!$E$4)*SUM(POZICIE_INTERNE!$I$40:$I$51))/POZICIE_INTERNE!$B$40*12,IF((POZICIE_INTERNE!$B$40-12*('TCO TO BE- SW'!$D154-1))&lt;0,0,(POZICIE_INTERNE!$B$40-12*('TCO TO BE- SW'!$D154-1))*((J$4+'TCO TO BE - HW'!J$4)/($E$4+'TCO TO BE - HW'!$E$4)*SUM(POZICIE_INTERNE!$I$40:$I$51))/POZICIE_INTERNE!$B$40)),0)+IFERROR(IF((AKTIVITY_POZICIE!$B$41-12*('TCO TO BE- SW'!$D154-1))&gt;12,((J$4+'TCO TO BE - HW'!J$4)/($E$4+'TCO TO BE - HW'!$E$4)*SUM(AKTIVITY_POZICIE!$M$41:$M$52)*1.2)/AKTIVITY_POZICIE!$B$41*12,IF((AKTIVITY_POZICIE!$B$41-12*('TCO TO BE- SW'!$D154-1))&lt;0,0,(AKTIVITY_POZICIE!$B$41-12*('TCO TO BE- SW'!$D154-1))*((J$4+'TCO TO BE - HW'!J$4)/($E$4+'TCO TO BE - HW'!$E$4)*SUM(AKTIVITY_POZICIE!$M$41:$M$52)*1.2)/AKTIVITY_POZICIE!$B$41)),0)</f>
        <v>0</v>
      </c>
      <c r="K154" s="577">
        <f>IFERROR(IF((POZICIE_INTERNE!$B$40-12*('TCO TO BE- SW'!$D154-1))&gt;12,((K$4+'TCO TO BE - HW'!K$4)/($E$4+'TCO TO BE - HW'!$E$4)*SUM(POZICIE_INTERNE!$I$40:$I$51))/POZICIE_INTERNE!$B$40*12,IF((POZICIE_INTERNE!$B$40-12*('TCO TO BE- SW'!$D154-1))&lt;0,0,(POZICIE_INTERNE!$B$40-12*('TCO TO BE- SW'!$D154-1))*((K$4+'TCO TO BE - HW'!K$4)/($E$4+'TCO TO BE - HW'!$E$4)*SUM(POZICIE_INTERNE!$I$40:$I$51))/POZICIE_INTERNE!$B$40)),0)+IFERROR(IF((AKTIVITY_POZICIE!$B$41-12*('TCO TO BE- SW'!$D154-1))&gt;12,((K$4+'TCO TO BE - HW'!K$4)/($E$4+'TCO TO BE - HW'!$E$4)*SUM(AKTIVITY_POZICIE!$M$41:$M$52)*1.2)/AKTIVITY_POZICIE!$B$41*12,IF((AKTIVITY_POZICIE!$B$41-12*('TCO TO BE- SW'!$D154-1))&lt;0,0,(AKTIVITY_POZICIE!$B$41-12*('TCO TO BE- SW'!$D154-1))*((K$4+'TCO TO BE - HW'!K$4)/($E$4+'TCO TO BE - HW'!$E$4)*SUM(AKTIVITY_POZICIE!$M$41:$M$52)*1.2)/AKTIVITY_POZICIE!$B$41)),0)</f>
        <v>0</v>
      </c>
      <c r="L154" s="577">
        <f>IFERROR(IF((POZICIE_INTERNE!$B$40-12*('TCO TO BE- SW'!$D154-1))&gt;12,((L$4+'TCO TO BE - HW'!L$4)/($E$4+'TCO TO BE - HW'!$E$4)*SUM(POZICIE_INTERNE!$I$40:$I$51))/POZICIE_INTERNE!$B$40*12,IF((POZICIE_INTERNE!$B$40-12*('TCO TO BE- SW'!$D154-1))&lt;0,0,(POZICIE_INTERNE!$B$40-12*('TCO TO BE- SW'!$D154-1))*((L$4+'TCO TO BE - HW'!L$4)/($E$4+'TCO TO BE - HW'!$E$4)*SUM(POZICIE_INTERNE!$I$40:$I$51))/POZICIE_INTERNE!$B$40)),0)+IFERROR(IF((AKTIVITY_POZICIE!$B$41-12*('TCO TO BE- SW'!$D154-1))&gt;12,((L$4+'TCO TO BE - HW'!L$4)/($E$4+'TCO TO BE - HW'!$E$4)*SUM(AKTIVITY_POZICIE!$M$41:$M$52)*1.2)/AKTIVITY_POZICIE!$B$41*12,IF((AKTIVITY_POZICIE!$B$41-12*('TCO TO BE- SW'!$D154-1))&lt;0,0,(AKTIVITY_POZICIE!$B$41-12*('TCO TO BE- SW'!$D154-1))*((L$4+'TCO TO BE - HW'!L$4)/($E$4+'TCO TO BE - HW'!$E$4)*SUM(AKTIVITY_POZICIE!$M$41:$M$52)*1.2)/AKTIVITY_POZICIE!$B$41)),0)</f>
        <v>0</v>
      </c>
      <c r="M154" s="577">
        <f>IFERROR(IF((POZICIE_INTERNE!$B$40-12*('TCO TO BE- SW'!$D154-1))&gt;12,((M$4+'TCO TO BE - HW'!M$4)/($E$4+'TCO TO BE - HW'!$E$4)*SUM(POZICIE_INTERNE!$I$40:$I$51))/POZICIE_INTERNE!$B$40*12,IF((POZICIE_INTERNE!$B$40-12*('TCO TO BE- SW'!$D154-1))&lt;0,0,(POZICIE_INTERNE!$B$40-12*('TCO TO BE- SW'!$D154-1))*((M$4+'TCO TO BE - HW'!M$4)/($E$4+'TCO TO BE - HW'!$E$4)*SUM(POZICIE_INTERNE!$I$40:$I$51))/POZICIE_INTERNE!$B$40)),0)+IFERROR(IF((AKTIVITY_POZICIE!$B$41-12*('TCO TO BE- SW'!$D154-1))&gt;12,((M$4+'TCO TO BE - HW'!M$4)/($E$4+'TCO TO BE - HW'!$E$4)*SUM(AKTIVITY_POZICIE!$M$41:$M$52)*1.2)/AKTIVITY_POZICIE!$B$41*12,IF((AKTIVITY_POZICIE!$B$41-12*('TCO TO BE- SW'!$D154-1))&lt;0,0,(AKTIVITY_POZICIE!$B$41-12*('TCO TO BE- SW'!$D154-1))*((M$4+'TCO TO BE - HW'!M$4)/($E$4+'TCO TO BE - HW'!$E$4)*SUM(AKTIVITY_POZICIE!$M$41:$M$52)*1.2)/AKTIVITY_POZICIE!$B$41)),0)</f>
        <v>0</v>
      </c>
      <c r="N154" s="577">
        <f>IFERROR(IF((POZICIE_INTERNE!$B$40-12*('TCO TO BE- SW'!$D154-1))&gt;12,((N$4+'TCO TO BE - HW'!N$4)/($E$4+'TCO TO BE - HW'!$E$4)*SUM(POZICIE_INTERNE!$I$40:$I$51))/POZICIE_INTERNE!$B$40*12,IF((POZICIE_INTERNE!$B$40-12*('TCO TO BE- SW'!$D154-1))&lt;0,0,(POZICIE_INTERNE!$B$40-12*('TCO TO BE- SW'!$D154-1))*((N$4+'TCO TO BE - HW'!N$4)/($E$4+'TCO TO BE - HW'!$E$4)*SUM(POZICIE_INTERNE!$I$40:$I$51))/POZICIE_INTERNE!$B$40)),0)+IFERROR(IF((AKTIVITY_POZICIE!$B$41-12*('TCO TO BE- SW'!$D154-1))&gt;12,((N$4+'TCO TO BE - HW'!N$4)/($E$4+'TCO TO BE - HW'!$E$4)*SUM(AKTIVITY_POZICIE!$M$41:$M$52)*1.2)/AKTIVITY_POZICIE!$B$41*12,IF((AKTIVITY_POZICIE!$B$41-12*('TCO TO BE- SW'!$D154-1))&lt;0,0,(AKTIVITY_POZICIE!$B$41-12*('TCO TO BE- SW'!$D154-1))*((N$4+'TCO TO BE - HW'!N$4)/($E$4+'TCO TO BE - HW'!$E$4)*SUM(AKTIVITY_POZICIE!$M$41:$M$52)*1.2)/AKTIVITY_POZICIE!$B$41)),0)</f>
        <v>0</v>
      </c>
      <c r="O154" s="577">
        <f>IFERROR(IF((POZICIE_INTERNE!$B$40-12*('TCO TO BE- SW'!$D154-1))&gt;12,((O$4+'TCO TO BE - HW'!O$4)/($E$4+'TCO TO BE - HW'!$E$4)*SUM(POZICIE_INTERNE!$I$40:$I$51))/POZICIE_INTERNE!$B$40*12,IF((POZICIE_INTERNE!$B$40-12*('TCO TO BE- SW'!$D154-1))&lt;0,0,(POZICIE_INTERNE!$B$40-12*('TCO TO BE- SW'!$D154-1))*((O$4+'TCO TO BE - HW'!O$4)/($E$4+'TCO TO BE - HW'!$E$4)*SUM(POZICIE_INTERNE!$I$40:$I$51))/POZICIE_INTERNE!$B$40)),0)+IFERROR(IF((AKTIVITY_POZICIE!$B$41-12*('TCO TO BE- SW'!$D154-1))&gt;12,((O$4+'TCO TO BE - HW'!O$4)/($E$4+'TCO TO BE - HW'!$E$4)*SUM(AKTIVITY_POZICIE!$M$41:$M$52)*1.2)/AKTIVITY_POZICIE!$B$41*12,IF((AKTIVITY_POZICIE!$B$41-12*('TCO TO BE- SW'!$D154-1))&lt;0,0,(AKTIVITY_POZICIE!$B$41-12*('TCO TO BE- SW'!$D154-1))*((O$4+'TCO TO BE - HW'!O$4)/($E$4+'TCO TO BE - HW'!$E$4)*SUM(AKTIVITY_POZICIE!$M$41:$M$52)*1.2)/AKTIVITY_POZICIE!$B$41)),0)</f>
        <v>0</v>
      </c>
      <c r="P154" s="577">
        <f>IFERROR(IF((POZICIE_INTERNE!$B$40-12*('TCO TO BE- SW'!$D154-1))&gt;12,((P$4+'TCO TO BE - HW'!P$4)/($E$4+'TCO TO BE - HW'!$E$4)*SUM(POZICIE_INTERNE!$I$40:$I$51))/POZICIE_INTERNE!$B$40*12,IF((POZICIE_INTERNE!$B$40-12*('TCO TO BE- SW'!$D154-1))&lt;0,0,(POZICIE_INTERNE!$B$40-12*('TCO TO BE- SW'!$D154-1))*((P$4+'TCO TO BE - HW'!P$4)/($E$4+'TCO TO BE - HW'!$E$4)*SUM(POZICIE_INTERNE!$I$40:$I$51))/POZICIE_INTERNE!$B$40)),0)+IFERROR(IF((AKTIVITY_POZICIE!$B$41-12*('TCO TO BE- SW'!$D154-1))&gt;12,((P$4+'TCO TO BE - HW'!P$4)/($E$4+'TCO TO BE - HW'!$E$4)*SUM(AKTIVITY_POZICIE!$M$41:$M$52)*1.2)/AKTIVITY_POZICIE!$B$41*12,IF((AKTIVITY_POZICIE!$B$41-12*('TCO TO BE- SW'!$D154-1))&lt;0,0,(AKTIVITY_POZICIE!$B$41-12*('TCO TO BE- SW'!$D154-1))*((P$4+'TCO TO BE - HW'!P$4)/($E$4+'TCO TO BE - HW'!$E$4)*SUM(AKTIVITY_POZICIE!$M$41:$M$52)*1.2)/AKTIVITY_POZICIE!$B$41)),0)</f>
        <v>0</v>
      </c>
      <c r="Q154" s="577">
        <f>IFERROR(IF((POZICIE_INTERNE!$B$40-12*('TCO TO BE- SW'!$D154-1))&gt;12,((Q$4+'TCO TO BE - HW'!Q$4)/($E$4+'TCO TO BE - HW'!$E$4)*SUM(POZICIE_INTERNE!$I$40:$I$51))/POZICIE_INTERNE!$B$40*12,IF((POZICIE_INTERNE!$B$40-12*('TCO TO BE- SW'!$D154-1))&lt;0,0,(POZICIE_INTERNE!$B$40-12*('TCO TO BE- SW'!$D154-1))*((Q$4+'TCO TO BE - HW'!Q$4)/($E$4+'TCO TO BE - HW'!$E$4)*SUM(POZICIE_INTERNE!$I$40:$I$51))/POZICIE_INTERNE!$B$40)),0)+IFERROR(IF((AKTIVITY_POZICIE!$B$41-12*('TCO TO BE- SW'!$D154-1))&gt;12,((Q$4+'TCO TO BE - HW'!Q$4)/($E$4+'TCO TO BE - HW'!$E$4)*SUM(AKTIVITY_POZICIE!$M$41:$M$52)*1.2)/AKTIVITY_POZICIE!$B$41*12,IF((AKTIVITY_POZICIE!$B$41-12*('TCO TO BE- SW'!$D154-1))&lt;0,0,(AKTIVITY_POZICIE!$B$41-12*('TCO TO BE- SW'!$D154-1))*((Q$4+'TCO TO BE - HW'!Q$4)/($E$4+'TCO TO BE - HW'!$E$4)*SUM(AKTIVITY_POZICIE!$M$41:$M$52)*1.2)/AKTIVITY_POZICIE!$B$41)),0)</f>
        <v>0</v>
      </c>
      <c r="R154" s="577">
        <f>IFERROR(IF((POZICIE_INTERNE!$B$40-12*('TCO TO BE- SW'!$D154-1))&gt;12,((R$4+'TCO TO BE - HW'!R$4)/($E$4+'TCO TO BE - HW'!$E$4)*SUM(POZICIE_INTERNE!$I$40:$I$51))/POZICIE_INTERNE!$B$40*12,IF((POZICIE_INTERNE!$B$40-12*('TCO TO BE- SW'!$D154-1))&lt;0,0,(POZICIE_INTERNE!$B$40-12*('TCO TO BE- SW'!$D154-1))*((R$4+'TCO TO BE - HW'!R$4)/($E$4+'TCO TO BE - HW'!$E$4)*SUM(POZICIE_INTERNE!$I$40:$I$51))/POZICIE_INTERNE!$B$40)),0)+IFERROR(IF((AKTIVITY_POZICIE!$B$41-12*('TCO TO BE- SW'!$D154-1))&gt;12,((R$4+'TCO TO BE - HW'!R$4)/($E$4+'TCO TO BE - HW'!$E$4)*SUM(AKTIVITY_POZICIE!$M$41:$M$52)*1.2)/AKTIVITY_POZICIE!$B$41*12,IF((AKTIVITY_POZICIE!$B$41-12*('TCO TO BE- SW'!$D154-1))&lt;0,0,(AKTIVITY_POZICIE!$B$41-12*('TCO TO BE- SW'!$D154-1))*((R$4+'TCO TO BE - HW'!R$4)/($E$4+'TCO TO BE - HW'!$E$4)*SUM(AKTIVITY_POZICIE!$M$41:$M$52)*1.2)/AKTIVITY_POZICIE!$B$41)),0)</f>
        <v>0</v>
      </c>
      <c r="S154" s="577">
        <f>IFERROR(IF((POZICIE_INTERNE!$B$40-12*('TCO TO BE- SW'!$D154-1))&gt;12,((S$4+'TCO TO BE - HW'!S$4)/($E$4+'TCO TO BE - HW'!$E$4)*SUM(POZICIE_INTERNE!$I$40:$I$51))/POZICIE_INTERNE!$B$40*12,IF((POZICIE_INTERNE!$B$40-12*('TCO TO BE- SW'!$D154-1))&lt;0,0,(POZICIE_INTERNE!$B$40-12*('TCO TO BE- SW'!$D154-1))*((S$4+'TCO TO BE - HW'!S$4)/($E$4+'TCO TO BE - HW'!$E$4)*SUM(POZICIE_INTERNE!$I$40:$I$51))/POZICIE_INTERNE!$B$40)),0)+IFERROR(IF((AKTIVITY_POZICIE!$B$41-12*('TCO TO BE- SW'!$D154-1))&gt;12,((S$4+'TCO TO BE - HW'!S$4)/($E$4+'TCO TO BE - HW'!$E$4)*SUM(AKTIVITY_POZICIE!$M$41:$M$52)*1.2)/AKTIVITY_POZICIE!$B$41*12,IF((AKTIVITY_POZICIE!$B$41-12*('TCO TO BE- SW'!$D154-1))&lt;0,0,(AKTIVITY_POZICIE!$B$41-12*('TCO TO BE- SW'!$D154-1))*((S$4+'TCO TO BE - HW'!S$4)/($E$4+'TCO TO BE - HW'!$E$4)*SUM(AKTIVITY_POZICIE!$M$41:$M$52)*1.2)/AKTIVITY_POZICIE!$B$41)),0)</f>
        <v>0</v>
      </c>
      <c r="T154" s="577">
        <f>IFERROR(IF((POZICIE_INTERNE!$B$40-12*('TCO TO BE- SW'!$D154-1))&gt;12,((T$4+'TCO TO BE - HW'!T$4)/($E$4+'TCO TO BE - HW'!$E$4)*SUM(POZICIE_INTERNE!$I$40:$I$51))/POZICIE_INTERNE!$B$40*12,IF((POZICIE_INTERNE!$B$40-12*('TCO TO BE- SW'!$D154-1))&lt;0,0,(POZICIE_INTERNE!$B$40-12*('TCO TO BE- SW'!$D154-1))*((T$4+'TCO TO BE - HW'!T$4)/($E$4+'TCO TO BE - HW'!$E$4)*SUM(POZICIE_INTERNE!$I$40:$I$51))/POZICIE_INTERNE!$B$40)),0)+IFERROR(IF((AKTIVITY_POZICIE!$B$41-12*('TCO TO BE- SW'!$D154-1))&gt;12,((T$4+'TCO TO BE - HW'!T$4)/($E$4+'TCO TO BE - HW'!$E$4)*SUM(AKTIVITY_POZICIE!$M$41:$M$52)*1.2)/AKTIVITY_POZICIE!$B$41*12,IF((AKTIVITY_POZICIE!$B$41-12*('TCO TO BE- SW'!$D154-1))&lt;0,0,(AKTIVITY_POZICIE!$B$41-12*('TCO TO BE- SW'!$D154-1))*((T$4+'TCO TO BE - HW'!T$4)/($E$4+'TCO TO BE - HW'!$E$4)*SUM(AKTIVITY_POZICIE!$M$41:$M$52)*1.2)/AKTIVITY_POZICIE!$B$41)),0)</f>
        <v>0</v>
      </c>
      <c r="U154" s="577">
        <f>IFERROR(IF((POZICIE_INTERNE!$B$40-12*('TCO TO BE- SW'!$D154-1))&gt;12,((U$4+'TCO TO BE - HW'!U$4)/($E$4+'TCO TO BE - HW'!$E$4)*SUM(POZICIE_INTERNE!$I$40:$I$51))/POZICIE_INTERNE!$B$40*12,IF((POZICIE_INTERNE!$B$40-12*('TCO TO BE- SW'!$D154-1))&lt;0,0,(POZICIE_INTERNE!$B$40-12*('TCO TO BE- SW'!$D154-1))*((U$4+'TCO TO BE - HW'!U$4)/($E$4+'TCO TO BE - HW'!$E$4)*SUM(POZICIE_INTERNE!$I$40:$I$51))/POZICIE_INTERNE!$B$40)),0)+IFERROR(IF((AKTIVITY_POZICIE!$B$41-12*('TCO TO BE- SW'!$D154-1))&gt;12,((U$4+'TCO TO BE - HW'!U$4)/($E$4+'TCO TO BE - HW'!$E$4)*SUM(AKTIVITY_POZICIE!$M$41:$M$52)*1.2)/AKTIVITY_POZICIE!$B$41*12,IF((AKTIVITY_POZICIE!$B$41-12*('TCO TO BE- SW'!$D154-1))&lt;0,0,(AKTIVITY_POZICIE!$B$41-12*('TCO TO BE- SW'!$D154-1))*((U$4+'TCO TO BE - HW'!U$4)/($E$4+'TCO TO BE - HW'!$E$4)*SUM(AKTIVITY_POZICIE!$M$41:$M$52)*1.2)/AKTIVITY_POZICIE!$B$41)),0)</f>
        <v>0</v>
      </c>
      <c r="V154" s="577">
        <f>IFERROR(IF((POZICIE_INTERNE!$B$40-12*('TCO TO BE- SW'!$D154-1))&gt;12,((V$4+'TCO TO BE - HW'!V$4)/($E$4+'TCO TO BE - HW'!$E$4)*SUM(POZICIE_INTERNE!$I$40:$I$51))/POZICIE_INTERNE!$B$40*12,IF((POZICIE_INTERNE!$B$40-12*('TCO TO BE- SW'!$D154-1))&lt;0,0,(POZICIE_INTERNE!$B$40-12*('TCO TO BE- SW'!$D154-1))*((V$4+'TCO TO BE - HW'!V$4)/($E$4+'TCO TO BE - HW'!$E$4)*SUM(POZICIE_INTERNE!$I$40:$I$51))/POZICIE_INTERNE!$B$40)),0)+IFERROR(IF((AKTIVITY_POZICIE!$B$41-12*('TCO TO BE- SW'!$D154-1))&gt;12,((V$4+'TCO TO BE - HW'!V$4)/($E$4+'TCO TO BE - HW'!$E$4)*SUM(AKTIVITY_POZICIE!$M$41:$M$52)*1.2)/AKTIVITY_POZICIE!$B$41*12,IF((AKTIVITY_POZICIE!$B$41-12*('TCO TO BE- SW'!$D154-1))&lt;0,0,(AKTIVITY_POZICIE!$B$41-12*('TCO TO BE- SW'!$D154-1))*((V$4+'TCO TO BE - HW'!V$4)/($E$4+'TCO TO BE - HW'!$E$4)*SUM(AKTIVITY_POZICIE!$M$41:$M$52)*1.2)/AKTIVITY_POZICIE!$B$41)),0)</f>
        <v>0</v>
      </c>
      <c r="W154" s="577">
        <f>IFERROR(IF((POZICIE_INTERNE!$B$40-12*('TCO TO BE- SW'!$D154-1))&gt;12,((W$4+'TCO TO BE - HW'!W$4)/($E$4+'TCO TO BE - HW'!$E$4)*SUM(POZICIE_INTERNE!$I$40:$I$51))/POZICIE_INTERNE!$B$40*12,IF((POZICIE_INTERNE!$B$40-12*('TCO TO BE- SW'!$D154-1))&lt;0,0,(POZICIE_INTERNE!$B$40-12*('TCO TO BE- SW'!$D154-1))*((W$4+'TCO TO BE - HW'!W$4)/($E$4+'TCO TO BE - HW'!$E$4)*SUM(POZICIE_INTERNE!$I$40:$I$51))/POZICIE_INTERNE!$B$40)),0)+IFERROR(IF((AKTIVITY_POZICIE!$B$41-12*('TCO TO BE- SW'!$D154-1))&gt;12,((W$4+'TCO TO BE - HW'!W$4)/($E$4+'TCO TO BE - HW'!$E$4)*SUM(AKTIVITY_POZICIE!$M$41:$M$52)*1.2)/AKTIVITY_POZICIE!$B$41*12,IF((AKTIVITY_POZICIE!$B$41-12*('TCO TO BE- SW'!$D154-1))&lt;0,0,(AKTIVITY_POZICIE!$B$41-12*('TCO TO BE- SW'!$D154-1))*((W$4+'TCO TO BE - HW'!W$4)/($E$4+'TCO TO BE - HW'!$E$4)*SUM(AKTIVITY_POZICIE!$M$41:$M$52)*1.2)/AKTIVITY_POZICIE!$B$41)),0)</f>
        <v>0</v>
      </c>
      <c r="X154" s="577">
        <f>IFERROR(IF((POZICIE_INTERNE!$B$40-12*('TCO TO BE- SW'!$D154-1))&gt;12,((X$4+'TCO TO BE - HW'!X$4)/($E$4+'TCO TO BE - HW'!$E$4)*SUM(POZICIE_INTERNE!$I$40:$I$51))/POZICIE_INTERNE!$B$40*12,IF((POZICIE_INTERNE!$B$40-12*('TCO TO BE- SW'!$D154-1))&lt;0,0,(POZICIE_INTERNE!$B$40-12*('TCO TO BE- SW'!$D154-1))*((X$4+'TCO TO BE - HW'!X$4)/($E$4+'TCO TO BE - HW'!$E$4)*SUM(POZICIE_INTERNE!$I$40:$I$51))/POZICIE_INTERNE!$B$40)),0)+IFERROR(IF((AKTIVITY_POZICIE!$B$41-12*('TCO TO BE- SW'!$D154-1))&gt;12,((X$4+'TCO TO BE - HW'!X$4)/($E$4+'TCO TO BE - HW'!$E$4)*SUM(AKTIVITY_POZICIE!$M$41:$M$52)*1.2)/AKTIVITY_POZICIE!$B$41*12,IF((AKTIVITY_POZICIE!$B$41-12*('TCO TO BE- SW'!$D154-1))&lt;0,0,(AKTIVITY_POZICIE!$B$41-12*('TCO TO BE- SW'!$D154-1))*((X$4+'TCO TO BE - HW'!X$4)/($E$4+'TCO TO BE - HW'!$E$4)*SUM(AKTIVITY_POZICIE!$M$41:$M$52)*1.2)/AKTIVITY_POZICIE!$B$41)),0)</f>
        <v>0</v>
      </c>
      <c r="Y154" s="577">
        <f>IFERROR(IF((POZICIE_INTERNE!$B$40-12*('TCO TO BE- SW'!$D154-1))&gt;12,((Y$4+'TCO TO BE - HW'!Y$4)/($E$4+'TCO TO BE - HW'!$E$4)*SUM(POZICIE_INTERNE!$I$40:$I$51))/POZICIE_INTERNE!$B$40*12,IF((POZICIE_INTERNE!$B$40-12*('TCO TO BE- SW'!$D154-1))&lt;0,0,(POZICIE_INTERNE!$B$40-12*('TCO TO BE- SW'!$D154-1))*((Y$4+'TCO TO BE - HW'!Y$4)/($E$4+'TCO TO BE - HW'!$E$4)*SUM(POZICIE_INTERNE!$I$40:$I$51))/POZICIE_INTERNE!$B$40)),0)+IFERROR(IF((AKTIVITY_POZICIE!$B$41-12*('TCO TO BE- SW'!$D154-1))&gt;12,((Y$4+'TCO TO BE - HW'!Y$4)/($E$4+'TCO TO BE - HW'!$E$4)*SUM(AKTIVITY_POZICIE!$M$41:$M$52)*1.2)/AKTIVITY_POZICIE!$B$41*12,IF((AKTIVITY_POZICIE!$B$41-12*('TCO TO BE- SW'!$D154-1))&lt;0,0,(AKTIVITY_POZICIE!$B$41-12*('TCO TO BE- SW'!$D154-1))*((Y$4+'TCO TO BE - HW'!Y$4)/($E$4+'TCO TO BE - HW'!$E$4)*SUM(AKTIVITY_POZICIE!$M$41:$M$52)*1.2)/AKTIVITY_POZICIE!$B$41)),0)</f>
        <v>0</v>
      </c>
      <c r="Z154" s="577">
        <f>IFERROR(IF((POZICIE_INTERNE!$B$40-12*('TCO TO BE- SW'!$D154-1))&gt;12,((Z$4+'TCO TO BE - HW'!Z$4)/($E$4+'TCO TO BE - HW'!$E$4)*SUM(POZICIE_INTERNE!$I$40:$I$51))/POZICIE_INTERNE!$B$40*12,IF((POZICIE_INTERNE!$B$40-12*('TCO TO BE- SW'!$D154-1))&lt;0,0,(POZICIE_INTERNE!$B$40-12*('TCO TO BE- SW'!$D154-1))*((Z$4+'TCO TO BE - HW'!Z$4)/($E$4+'TCO TO BE - HW'!$E$4)*SUM(POZICIE_INTERNE!$I$40:$I$51))/POZICIE_INTERNE!$B$40)),0)+IFERROR(IF((AKTIVITY_POZICIE!$B$41-12*('TCO TO BE- SW'!$D154-1))&gt;12,((Z$4+'TCO TO BE - HW'!Z$4)/($E$4+'TCO TO BE - HW'!$E$4)*SUM(AKTIVITY_POZICIE!$M$41:$M$52)*1.2)/AKTIVITY_POZICIE!$B$41*12,IF((AKTIVITY_POZICIE!$B$41-12*('TCO TO BE- SW'!$D154-1))&lt;0,0,(AKTIVITY_POZICIE!$B$41-12*('TCO TO BE- SW'!$D154-1))*((Z$4+'TCO TO BE - HW'!Z$4)/($E$4+'TCO TO BE - HW'!$E$4)*SUM(AKTIVITY_POZICIE!$M$41:$M$52)*1.2)/AKTIVITY_POZICIE!$B$41)),0)</f>
        <v>0</v>
      </c>
    </row>
    <row r="155" spans="1:26">
      <c r="A155" s="824"/>
      <c r="B155" s="825"/>
      <c r="C155" s="825"/>
      <c r="D155" s="64">
        <v>5</v>
      </c>
      <c r="E155" s="68">
        <f t="shared" si="16"/>
        <v>0</v>
      </c>
      <c r="F155" s="577">
        <f>IFERROR(IF((POZICIE_INTERNE!$B$40-12*('TCO TO BE- SW'!$D155-1))&gt;12,((F$4+'TCO TO BE - HW'!F$4)/($E$4+'TCO TO BE - HW'!$E$4)*SUM(POZICIE_INTERNE!$I$40:$I$51))/POZICIE_INTERNE!$B$40*12,IF((POZICIE_INTERNE!$B$40-12*('TCO TO BE- SW'!$D155-1))&lt;0,0,(POZICIE_INTERNE!$B$40-12*('TCO TO BE- SW'!$D155-1))*((F$4+'TCO TO BE - HW'!F$4)/($E$4+'TCO TO BE - HW'!$E$4)*SUM(POZICIE_INTERNE!$I$40:$I$51))/POZICIE_INTERNE!$B$40)),0)+IFERROR(IF((AKTIVITY_POZICIE!$B$41-12*('TCO TO BE- SW'!$D155-1))&gt;12,((F$4+'TCO TO BE - HW'!F$4)/($E$4+'TCO TO BE - HW'!$E$4)*SUM(AKTIVITY_POZICIE!$M$41:$M$52)*1.2)/AKTIVITY_POZICIE!$B$41*12,IF((AKTIVITY_POZICIE!$B$41-12*('TCO TO BE- SW'!$D155-1))&lt;0,0,(AKTIVITY_POZICIE!$B$41-12*('TCO TO BE- SW'!$D155-1))*((F$4+'TCO TO BE - HW'!F$4)/($E$4+'TCO TO BE - HW'!$E$4)*SUM(AKTIVITY_POZICIE!$M$41:$M$52)*1.2)/AKTIVITY_POZICIE!$B$41)),0)</f>
        <v>0</v>
      </c>
      <c r="G155" s="577">
        <f>IFERROR(IF((POZICIE_INTERNE!$B$40-12*('TCO TO BE- SW'!$D155-1))&gt;12,((G$4+'TCO TO BE - HW'!G$4)/($E$4+'TCO TO BE - HW'!$E$4)*SUM(POZICIE_INTERNE!$I$40:$I$51))/POZICIE_INTERNE!$B$40*12,IF((POZICIE_INTERNE!$B$40-12*('TCO TO BE- SW'!$D155-1))&lt;0,0,(POZICIE_INTERNE!$B$40-12*('TCO TO BE- SW'!$D155-1))*((G$4+'TCO TO BE - HW'!G$4)/($E$4+'TCO TO BE - HW'!$E$4)*SUM(POZICIE_INTERNE!$I$40:$I$51))/POZICIE_INTERNE!$B$40)),0)+IFERROR(IF((AKTIVITY_POZICIE!$B$41-12*('TCO TO BE- SW'!$D155-1))&gt;12,((G$4+'TCO TO BE - HW'!G$4)/($E$4+'TCO TO BE - HW'!$E$4)*SUM(AKTIVITY_POZICIE!$M$41:$M$52)*1.2)/AKTIVITY_POZICIE!$B$41*12,IF((AKTIVITY_POZICIE!$B$41-12*('TCO TO BE- SW'!$D155-1))&lt;0,0,(AKTIVITY_POZICIE!$B$41-12*('TCO TO BE- SW'!$D155-1))*((G$4+'TCO TO BE - HW'!G$4)/($E$4+'TCO TO BE - HW'!$E$4)*SUM(AKTIVITY_POZICIE!$M$41:$M$52)*1.2)/AKTIVITY_POZICIE!$B$41)),0)</f>
        <v>0</v>
      </c>
      <c r="H155" s="577">
        <f>IFERROR(IF((POZICIE_INTERNE!$B$40-12*('TCO TO BE- SW'!$D155-1))&gt;12,((H$4+'TCO TO BE - HW'!H$4)/($E$4+'TCO TO BE - HW'!$E$4)*SUM(POZICIE_INTERNE!$I$40:$I$51))/POZICIE_INTERNE!$B$40*12,IF((POZICIE_INTERNE!$B$40-12*('TCO TO BE- SW'!$D155-1))&lt;0,0,(POZICIE_INTERNE!$B$40-12*('TCO TO BE- SW'!$D155-1))*((H$4+'TCO TO BE - HW'!H$4)/($E$4+'TCO TO BE - HW'!$E$4)*SUM(POZICIE_INTERNE!$I$40:$I$51))/POZICIE_INTERNE!$B$40)),0)+IFERROR(IF((AKTIVITY_POZICIE!$B$41-12*('TCO TO BE- SW'!$D155-1))&gt;12,((H$4+'TCO TO BE - HW'!H$4)/($E$4+'TCO TO BE - HW'!$E$4)*SUM(AKTIVITY_POZICIE!$M$41:$M$52)*1.2)/AKTIVITY_POZICIE!$B$41*12,IF((AKTIVITY_POZICIE!$B$41-12*('TCO TO BE- SW'!$D155-1))&lt;0,0,(AKTIVITY_POZICIE!$B$41-12*('TCO TO BE- SW'!$D155-1))*((H$4+'TCO TO BE - HW'!H$4)/($E$4+'TCO TO BE - HW'!$E$4)*SUM(AKTIVITY_POZICIE!$M$41:$M$52)*1.2)/AKTIVITY_POZICIE!$B$41)),0)</f>
        <v>0</v>
      </c>
      <c r="I155" s="577">
        <f>IFERROR(IF((POZICIE_INTERNE!$B$40-12*('TCO TO BE- SW'!$D155-1))&gt;12,((I$4+'TCO TO BE - HW'!I$4)/($E$4+'TCO TO BE - HW'!$E$4)*SUM(POZICIE_INTERNE!$I$40:$I$51))/POZICIE_INTERNE!$B$40*12,IF((POZICIE_INTERNE!$B$40-12*('TCO TO BE- SW'!$D155-1))&lt;0,0,(POZICIE_INTERNE!$B$40-12*('TCO TO BE- SW'!$D155-1))*((I$4+'TCO TO BE - HW'!I$4)/($E$4+'TCO TO BE - HW'!$E$4)*SUM(POZICIE_INTERNE!$I$40:$I$51))/POZICIE_INTERNE!$B$40)),0)+IFERROR(IF((AKTIVITY_POZICIE!$B$41-12*('TCO TO BE- SW'!$D155-1))&gt;12,((I$4+'TCO TO BE - HW'!I$4)/($E$4+'TCO TO BE - HW'!$E$4)*SUM(AKTIVITY_POZICIE!$M$41:$M$52)*1.2)/AKTIVITY_POZICIE!$B$41*12,IF((AKTIVITY_POZICIE!$B$41-12*('TCO TO BE- SW'!$D155-1))&lt;0,0,(AKTIVITY_POZICIE!$B$41-12*('TCO TO BE- SW'!$D155-1))*((I$4+'TCO TO BE - HW'!I$4)/($E$4+'TCO TO BE - HW'!$E$4)*SUM(AKTIVITY_POZICIE!$M$41:$M$52)*1.2)/AKTIVITY_POZICIE!$B$41)),0)</f>
        <v>0</v>
      </c>
      <c r="J155" s="577">
        <f>IFERROR(IF((POZICIE_INTERNE!$B$40-12*('TCO TO BE- SW'!$D155-1))&gt;12,((J$4+'TCO TO BE - HW'!J$4)/($E$4+'TCO TO BE - HW'!$E$4)*SUM(POZICIE_INTERNE!$I$40:$I$51))/POZICIE_INTERNE!$B$40*12,IF((POZICIE_INTERNE!$B$40-12*('TCO TO BE- SW'!$D155-1))&lt;0,0,(POZICIE_INTERNE!$B$40-12*('TCO TO BE- SW'!$D155-1))*((J$4+'TCO TO BE - HW'!J$4)/($E$4+'TCO TO BE - HW'!$E$4)*SUM(POZICIE_INTERNE!$I$40:$I$51))/POZICIE_INTERNE!$B$40)),0)+IFERROR(IF((AKTIVITY_POZICIE!$B$41-12*('TCO TO BE- SW'!$D155-1))&gt;12,((J$4+'TCO TO BE - HW'!J$4)/($E$4+'TCO TO BE - HW'!$E$4)*SUM(AKTIVITY_POZICIE!$M$41:$M$52)*1.2)/AKTIVITY_POZICIE!$B$41*12,IF((AKTIVITY_POZICIE!$B$41-12*('TCO TO BE- SW'!$D155-1))&lt;0,0,(AKTIVITY_POZICIE!$B$41-12*('TCO TO BE- SW'!$D155-1))*((J$4+'TCO TO BE - HW'!J$4)/($E$4+'TCO TO BE - HW'!$E$4)*SUM(AKTIVITY_POZICIE!$M$41:$M$52)*1.2)/AKTIVITY_POZICIE!$B$41)),0)</f>
        <v>0</v>
      </c>
      <c r="K155" s="577">
        <f>IFERROR(IF((POZICIE_INTERNE!$B$40-12*('TCO TO BE- SW'!$D155-1))&gt;12,((K$4+'TCO TO BE - HW'!K$4)/($E$4+'TCO TO BE - HW'!$E$4)*SUM(POZICIE_INTERNE!$I$40:$I$51))/POZICIE_INTERNE!$B$40*12,IF((POZICIE_INTERNE!$B$40-12*('TCO TO BE- SW'!$D155-1))&lt;0,0,(POZICIE_INTERNE!$B$40-12*('TCO TO BE- SW'!$D155-1))*((K$4+'TCO TO BE - HW'!K$4)/($E$4+'TCO TO BE - HW'!$E$4)*SUM(POZICIE_INTERNE!$I$40:$I$51))/POZICIE_INTERNE!$B$40)),0)+IFERROR(IF((AKTIVITY_POZICIE!$B$41-12*('TCO TO BE- SW'!$D155-1))&gt;12,((K$4+'TCO TO BE - HW'!K$4)/($E$4+'TCO TO BE - HW'!$E$4)*SUM(AKTIVITY_POZICIE!$M$41:$M$52)*1.2)/AKTIVITY_POZICIE!$B$41*12,IF((AKTIVITY_POZICIE!$B$41-12*('TCO TO BE- SW'!$D155-1))&lt;0,0,(AKTIVITY_POZICIE!$B$41-12*('TCO TO BE- SW'!$D155-1))*((K$4+'TCO TO BE - HW'!K$4)/($E$4+'TCO TO BE - HW'!$E$4)*SUM(AKTIVITY_POZICIE!$M$41:$M$52)*1.2)/AKTIVITY_POZICIE!$B$41)),0)</f>
        <v>0</v>
      </c>
      <c r="L155" s="577">
        <f>IFERROR(IF((POZICIE_INTERNE!$B$40-12*('TCO TO BE- SW'!$D155-1))&gt;12,((L$4+'TCO TO BE - HW'!L$4)/($E$4+'TCO TO BE - HW'!$E$4)*SUM(POZICIE_INTERNE!$I$40:$I$51))/POZICIE_INTERNE!$B$40*12,IF((POZICIE_INTERNE!$B$40-12*('TCO TO BE- SW'!$D155-1))&lt;0,0,(POZICIE_INTERNE!$B$40-12*('TCO TO BE- SW'!$D155-1))*((L$4+'TCO TO BE - HW'!L$4)/($E$4+'TCO TO BE - HW'!$E$4)*SUM(POZICIE_INTERNE!$I$40:$I$51))/POZICIE_INTERNE!$B$40)),0)+IFERROR(IF((AKTIVITY_POZICIE!$B$41-12*('TCO TO BE- SW'!$D155-1))&gt;12,((L$4+'TCO TO BE - HW'!L$4)/($E$4+'TCO TO BE - HW'!$E$4)*SUM(AKTIVITY_POZICIE!$M$41:$M$52)*1.2)/AKTIVITY_POZICIE!$B$41*12,IF((AKTIVITY_POZICIE!$B$41-12*('TCO TO BE- SW'!$D155-1))&lt;0,0,(AKTIVITY_POZICIE!$B$41-12*('TCO TO BE- SW'!$D155-1))*((L$4+'TCO TO BE - HW'!L$4)/($E$4+'TCO TO BE - HW'!$E$4)*SUM(AKTIVITY_POZICIE!$M$41:$M$52)*1.2)/AKTIVITY_POZICIE!$B$41)),0)</f>
        <v>0</v>
      </c>
      <c r="M155" s="577">
        <f>IFERROR(IF((POZICIE_INTERNE!$B$40-12*('TCO TO BE- SW'!$D155-1))&gt;12,((M$4+'TCO TO BE - HW'!M$4)/($E$4+'TCO TO BE - HW'!$E$4)*SUM(POZICIE_INTERNE!$I$40:$I$51))/POZICIE_INTERNE!$B$40*12,IF((POZICIE_INTERNE!$B$40-12*('TCO TO BE- SW'!$D155-1))&lt;0,0,(POZICIE_INTERNE!$B$40-12*('TCO TO BE- SW'!$D155-1))*((M$4+'TCO TO BE - HW'!M$4)/($E$4+'TCO TO BE - HW'!$E$4)*SUM(POZICIE_INTERNE!$I$40:$I$51))/POZICIE_INTERNE!$B$40)),0)+IFERROR(IF((AKTIVITY_POZICIE!$B$41-12*('TCO TO BE- SW'!$D155-1))&gt;12,((M$4+'TCO TO BE - HW'!M$4)/($E$4+'TCO TO BE - HW'!$E$4)*SUM(AKTIVITY_POZICIE!$M$41:$M$52)*1.2)/AKTIVITY_POZICIE!$B$41*12,IF((AKTIVITY_POZICIE!$B$41-12*('TCO TO BE- SW'!$D155-1))&lt;0,0,(AKTIVITY_POZICIE!$B$41-12*('TCO TO BE- SW'!$D155-1))*((M$4+'TCO TO BE - HW'!M$4)/($E$4+'TCO TO BE - HW'!$E$4)*SUM(AKTIVITY_POZICIE!$M$41:$M$52)*1.2)/AKTIVITY_POZICIE!$B$41)),0)</f>
        <v>0</v>
      </c>
      <c r="N155" s="577">
        <f>IFERROR(IF((POZICIE_INTERNE!$B$40-12*('TCO TO BE- SW'!$D155-1))&gt;12,((N$4+'TCO TO BE - HW'!N$4)/($E$4+'TCO TO BE - HW'!$E$4)*SUM(POZICIE_INTERNE!$I$40:$I$51))/POZICIE_INTERNE!$B$40*12,IF((POZICIE_INTERNE!$B$40-12*('TCO TO BE- SW'!$D155-1))&lt;0,0,(POZICIE_INTERNE!$B$40-12*('TCO TO BE- SW'!$D155-1))*((N$4+'TCO TO BE - HW'!N$4)/($E$4+'TCO TO BE - HW'!$E$4)*SUM(POZICIE_INTERNE!$I$40:$I$51))/POZICIE_INTERNE!$B$40)),0)+IFERROR(IF((AKTIVITY_POZICIE!$B$41-12*('TCO TO BE- SW'!$D155-1))&gt;12,((N$4+'TCO TO BE - HW'!N$4)/($E$4+'TCO TO BE - HW'!$E$4)*SUM(AKTIVITY_POZICIE!$M$41:$M$52)*1.2)/AKTIVITY_POZICIE!$B$41*12,IF((AKTIVITY_POZICIE!$B$41-12*('TCO TO BE- SW'!$D155-1))&lt;0,0,(AKTIVITY_POZICIE!$B$41-12*('TCO TO BE- SW'!$D155-1))*((N$4+'TCO TO BE - HW'!N$4)/($E$4+'TCO TO BE - HW'!$E$4)*SUM(AKTIVITY_POZICIE!$M$41:$M$52)*1.2)/AKTIVITY_POZICIE!$B$41)),0)</f>
        <v>0</v>
      </c>
      <c r="O155" s="577">
        <f>IFERROR(IF((POZICIE_INTERNE!$B$40-12*('TCO TO BE- SW'!$D155-1))&gt;12,((O$4+'TCO TO BE - HW'!O$4)/($E$4+'TCO TO BE - HW'!$E$4)*SUM(POZICIE_INTERNE!$I$40:$I$51))/POZICIE_INTERNE!$B$40*12,IF((POZICIE_INTERNE!$B$40-12*('TCO TO BE- SW'!$D155-1))&lt;0,0,(POZICIE_INTERNE!$B$40-12*('TCO TO BE- SW'!$D155-1))*((O$4+'TCO TO BE - HW'!O$4)/($E$4+'TCO TO BE - HW'!$E$4)*SUM(POZICIE_INTERNE!$I$40:$I$51))/POZICIE_INTERNE!$B$40)),0)+IFERROR(IF((AKTIVITY_POZICIE!$B$41-12*('TCO TO BE- SW'!$D155-1))&gt;12,((O$4+'TCO TO BE - HW'!O$4)/($E$4+'TCO TO BE - HW'!$E$4)*SUM(AKTIVITY_POZICIE!$M$41:$M$52)*1.2)/AKTIVITY_POZICIE!$B$41*12,IF((AKTIVITY_POZICIE!$B$41-12*('TCO TO BE- SW'!$D155-1))&lt;0,0,(AKTIVITY_POZICIE!$B$41-12*('TCO TO BE- SW'!$D155-1))*((O$4+'TCO TO BE - HW'!O$4)/($E$4+'TCO TO BE - HW'!$E$4)*SUM(AKTIVITY_POZICIE!$M$41:$M$52)*1.2)/AKTIVITY_POZICIE!$B$41)),0)</f>
        <v>0</v>
      </c>
      <c r="P155" s="577">
        <f>IFERROR(IF((POZICIE_INTERNE!$B$40-12*('TCO TO BE- SW'!$D155-1))&gt;12,((P$4+'TCO TO BE - HW'!P$4)/($E$4+'TCO TO BE - HW'!$E$4)*SUM(POZICIE_INTERNE!$I$40:$I$51))/POZICIE_INTERNE!$B$40*12,IF((POZICIE_INTERNE!$B$40-12*('TCO TO BE- SW'!$D155-1))&lt;0,0,(POZICIE_INTERNE!$B$40-12*('TCO TO BE- SW'!$D155-1))*((P$4+'TCO TO BE - HW'!P$4)/($E$4+'TCO TO BE - HW'!$E$4)*SUM(POZICIE_INTERNE!$I$40:$I$51))/POZICIE_INTERNE!$B$40)),0)+IFERROR(IF((AKTIVITY_POZICIE!$B$41-12*('TCO TO BE- SW'!$D155-1))&gt;12,((P$4+'TCO TO BE - HW'!P$4)/($E$4+'TCO TO BE - HW'!$E$4)*SUM(AKTIVITY_POZICIE!$M$41:$M$52)*1.2)/AKTIVITY_POZICIE!$B$41*12,IF((AKTIVITY_POZICIE!$B$41-12*('TCO TO BE- SW'!$D155-1))&lt;0,0,(AKTIVITY_POZICIE!$B$41-12*('TCO TO BE- SW'!$D155-1))*((P$4+'TCO TO BE - HW'!P$4)/($E$4+'TCO TO BE - HW'!$E$4)*SUM(AKTIVITY_POZICIE!$M$41:$M$52)*1.2)/AKTIVITY_POZICIE!$B$41)),0)</f>
        <v>0</v>
      </c>
      <c r="Q155" s="577">
        <f>IFERROR(IF((POZICIE_INTERNE!$B$40-12*('TCO TO BE- SW'!$D155-1))&gt;12,((Q$4+'TCO TO BE - HW'!Q$4)/($E$4+'TCO TO BE - HW'!$E$4)*SUM(POZICIE_INTERNE!$I$40:$I$51))/POZICIE_INTERNE!$B$40*12,IF((POZICIE_INTERNE!$B$40-12*('TCO TO BE- SW'!$D155-1))&lt;0,0,(POZICIE_INTERNE!$B$40-12*('TCO TO BE- SW'!$D155-1))*((Q$4+'TCO TO BE - HW'!Q$4)/($E$4+'TCO TO BE - HW'!$E$4)*SUM(POZICIE_INTERNE!$I$40:$I$51))/POZICIE_INTERNE!$B$40)),0)+IFERROR(IF((AKTIVITY_POZICIE!$B$41-12*('TCO TO BE- SW'!$D155-1))&gt;12,((Q$4+'TCO TO BE - HW'!Q$4)/($E$4+'TCO TO BE - HW'!$E$4)*SUM(AKTIVITY_POZICIE!$M$41:$M$52)*1.2)/AKTIVITY_POZICIE!$B$41*12,IF((AKTIVITY_POZICIE!$B$41-12*('TCO TO BE- SW'!$D155-1))&lt;0,0,(AKTIVITY_POZICIE!$B$41-12*('TCO TO BE- SW'!$D155-1))*((Q$4+'TCO TO BE - HW'!Q$4)/($E$4+'TCO TO BE - HW'!$E$4)*SUM(AKTIVITY_POZICIE!$M$41:$M$52)*1.2)/AKTIVITY_POZICIE!$B$41)),0)</f>
        <v>0</v>
      </c>
      <c r="R155" s="577">
        <f>IFERROR(IF((POZICIE_INTERNE!$B$40-12*('TCO TO BE- SW'!$D155-1))&gt;12,((R$4+'TCO TO BE - HW'!R$4)/($E$4+'TCO TO BE - HW'!$E$4)*SUM(POZICIE_INTERNE!$I$40:$I$51))/POZICIE_INTERNE!$B$40*12,IF((POZICIE_INTERNE!$B$40-12*('TCO TO BE- SW'!$D155-1))&lt;0,0,(POZICIE_INTERNE!$B$40-12*('TCO TO BE- SW'!$D155-1))*((R$4+'TCO TO BE - HW'!R$4)/($E$4+'TCO TO BE - HW'!$E$4)*SUM(POZICIE_INTERNE!$I$40:$I$51))/POZICIE_INTERNE!$B$40)),0)+IFERROR(IF((AKTIVITY_POZICIE!$B$41-12*('TCO TO BE- SW'!$D155-1))&gt;12,((R$4+'TCO TO BE - HW'!R$4)/($E$4+'TCO TO BE - HW'!$E$4)*SUM(AKTIVITY_POZICIE!$M$41:$M$52)*1.2)/AKTIVITY_POZICIE!$B$41*12,IF((AKTIVITY_POZICIE!$B$41-12*('TCO TO BE- SW'!$D155-1))&lt;0,0,(AKTIVITY_POZICIE!$B$41-12*('TCO TO BE- SW'!$D155-1))*((R$4+'TCO TO BE - HW'!R$4)/($E$4+'TCO TO BE - HW'!$E$4)*SUM(AKTIVITY_POZICIE!$M$41:$M$52)*1.2)/AKTIVITY_POZICIE!$B$41)),0)</f>
        <v>0</v>
      </c>
      <c r="S155" s="577">
        <f>IFERROR(IF((POZICIE_INTERNE!$B$40-12*('TCO TO BE- SW'!$D155-1))&gt;12,((S$4+'TCO TO BE - HW'!S$4)/($E$4+'TCO TO BE - HW'!$E$4)*SUM(POZICIE_INTERNE!$I$40:$I$51))/POZICIE_INTERNE!$B$40*12,IF((POZICIE_INTERNE!$B$40-12*('TCO TO BE- SW'!$D155-1))&lt;0,0,(POZICIE_INTERNE!$B$40-12*('TCO TO BE- SW'!$D155-1))*((S$4+'TCO TO BE - HW'!S$4)/($E$4+'TCO TO BE - HW'!$E$4)*SUM(POZICIE_INTERNE!$I$40:$I$51))/POZICIE_INTERNE!$B$40)),0)+IFERROR(IF((AKTIVITY_POZICIE!$B$41-12*('TCO TO BE- SW'!$D155-1))&gt;12,((S$4+'TCO TO BE - HW'!S$4)/($E$4+'TCO TO BE - HW'!$E$4)*SUM(AKTIVITY_POZICIE!$M$41:$M$52)*1.2)/AKTIVITY_POZICIE!$B$41*12,IF((AKTIVITY_POZICIE!$B$41-12*('TCO TO BE- SW'!$D155-1))&lt;0,0,(AKTIVITY_POZICIE!$B$41-12*('TCO TO BE- SW'!$D155-1))*((S$4+'TCO TO BE - HW'!S$4)/($E$4+'TCO TO BE - HW'!$E$4)*SUM(AKTIVITY_POZICIE!$M$41:$M$52)*1.2)/AKTIVITY_POZICIE!$B$41)),0)</f>
        <v>0</v>
      </c>
      <c r="T155" s="577">
        <f>IFERROR(IF((POZICIE_INTERNE!$B$40-12*('TCO TO BE- SW'!$D155-1))&gt;12,((T$4+'TCO TO BE - HW'!T$4)/($E$4+'TCO TO BE - HW'!$E$4)*SUM(POZICIE_INTERNE!$I$40:$I$51))/POZICIE_INTERNE!$B$40*12,IF((POZICIE_INTERNE!$B$40-12*('TCO TO BE- SW'!$D155-1))&lt;0,0,(POZICIE_INTERNE!$B$40-12*('TCO TO BE- SW'!$D155-1))*((T$4+'TCO TO BE - HW'!T$4)/($E$4+'TCO TO BE - HW'!$E$4)*SUM(POZICIE_INTERNE!$I$40:$I$51))/POZICIE_INTERNE!$B$40)),0)+IFERROR(IF((AKTIVITY_POZICIE!$B$41-12*('TCO TO BE- SW'!$D155-1))&gt;12,((T$4+'TCO TO BE - HW'!T$4)/($E$4+'TCO TO BE - HW'!$E$4)*SUM(AKTIVITY_POZICIE!$M$41:$M$52)*1.2)/AKTIVITY_POZICIE!$B$41*12,IF((AKTIVITY_POZICIE!$B$41-12*('TCO TO BE- SW'!$D155-1))&lt;0,0,(AKTIVITY_POZICIE!$B$41-12*('TCO TO BE- SW'!$D155-1))*((T$4+'TCO TO BE - HW'!T$4)/($E$4+'TCO TO BE - HW'!$E$4)*SUM(AKTIVITY_POZICIE!$M$41:$M$52)*1.2)/AKTIVITY_POZICIE!$B$41)),0)</f>
        <v>0</v>
      </c>
      <c r="U155" s="577">
        <f>IFERROR(IF((POZICIE_INTERNE!$B$40-12*('TCO TO BE- SW'!$D155-1))&gt;12,((U$4+'TCO TO BE - HW'!U$4)/($E$4+'TCO TO BE - HW'!$E$4)*SUM(POZICIE_INTERNE!$I$40:$I$51))/POZICIE_INTERNE!$B$40*12,IF((POZICIE_INTERNE!$B$40-12*('TCO TO BE- SW'!$D155-1))&lt;0,0,(POZICIE_INTERNE!$B$40-12*('TCO TO BE- SW'!$D155-1))*((U$4+'TCO TO BE - HW'!U$4)/($E$4+'TCO TO BE - HW'!$E$4)*SUM(POZICIE_INTERNE!$I$40:$I$51))/POZICIE_INTERNE!$B$40)),0)+IFERROR(IF((AKTIVITY_POZICIE!$B$41-12*('TCO TO BE- SW'!$D155-1))&gt;12,((U$4+'TCO TO BE - HW'!U$4)/($E$4+'TCO TO BE - HW'!$E$4)*SUM(AKTIVITY_POZICIE!$M$41:$M$52)*1.2)/AKTIVITY_POZICIE!$B$41*12,IF((AKTIVITY_POZICIE!$B$41-12*('TCO TO BE- SW'!$D155-1))&lt;0,0,(AKTIVITY_POZICIE!$B$41-12*('TCO TO BE- SW'!$D155-1))*((U$4+'TCO TO BE - HW'!U$4)/($E$4+'TCO TO BE - HW'!$E$4)*SUM(AKTIVITY_POZICIE!$M$41:$M$52)*1.2)/AKTIVITY_POZICIE!$B$41)),0)</f>
        <v>0</v>
      </c>
      <c r="V155" s="577">
        <f>IFERROR(IF((POZICIE_INTERNE!$B$40-12*('TCO TO BE- SW'!$D155-1))&gt;12,((V$4+'TCO TO BE - HW'!V$4)/($E$4+'TCO TO BE - HW'!$E$4)*SUM(POZICIE_INTERNE!$I$40:$I$51))/POZICIE_INTERNE!$B$40*12,IF((POZICIE_INTERNE!$B$40-12*('TCO TO BE- SW'!$D155-1))&lt;0,0,(POZICIE_INTERNE!$B$40-12*('TCO TO BE- SW'!$D155-1))*((V$4+'TCO TO BE - HW'!V$4)/($E$4+'TCO TO BE - HW'!$E$4)*SUM(POZICIE_INTERNE!$I$40:$I$51))/POZICIE_INTERNE!$B$40)),0)+IFERROR(IF((AKTIVITY_POZICIE!$B$41-12*('TCO TO BE- SW'!$D155-1))&gt;12,((V$4+'TCO TO BE - HW'!V$4)/($E$4+'TCO TO BE - HW'!$E$4)*SUM(AKTIVITY_POZICIE!$M$41:$M$52)*1.2)/AKTIVITY_POZICIE!$B$41*12,IF((AKTIVITY_POZICIE!$B$41-12*('TCO TO BE- SW'!$D155-1))&lt;0,0,(AKTIVITY_POZICIE!$B$41-12*('TCO TO BE- SW'!$D155-1))*((V$4+'TCO TO BE - HW'!V$4)/($E$4+'TCO TO BE - HW'!$E$4)*SUM(AKTIVITY_POZICIE!$M$41:$M$52)*1.2)/AKTIVITY_POZICIE!$B$41)),0)</f>
        <v>0</v>
      </c>
      <c r="W155" s="577">
        <f>IFERROR(IF((POZICIE_INTERNE!$B$40-12*('TCO TO BE- SW'!$D155-1))&gt;12,((W$4+'TCO TO BE - HW'!W$4)/($E$4+'TCO TO BE - HW'!$E$4)*SUM(POZICIE_INTERNE!$I$40:$I$51))/POZICIE_INTERNE!$B$40*12,IF((POZICIE_INTERNE!$B$40-12*('TCO TO BE- SW'!$D155-1))&lt;0,0,(POZICIE_INTERNE!$B$40-12*('TCO TO BE- SW'!$D155-1))*((W$4+'TCO TO BE - HW'!W$4)/($E$4+'TCO TO BE - HW'!$E$4)*SUM(POZICIE_INTERNE!$I$40:$I$51))/POZICIE_INTERNE!$B$40)),0)+IFERROR(IF((AKTIVITY_POZICIE!$B$41-12*('TCO TO BE- SW'!$D155-1))&gt;12,((W$4+'TCO TO BE - HW'!W$4)/($E$4+'TCO TO BE - HW'!$E$4)*SUM(AKTIVITY_POZICIE!$M$41:$M$52)*1.2)/AKTIVITY_POZICIE!$B$41*12,IF((AKTIVITY_POZICIE!$B$41-12*('TCO TO BE- SW'!$D155-1))&lt;0,0,(AKTIVITY_POZICIE!$B$41-12*('TCO TO BE- SW'!$D155-1))*((W$4+'TCO TO BE - HW'!W$4)/($E$4+'TCO TO BE - HW'!$E$4)*SUM(AKTIVITY_POZICIE!$M$41:$M$52)*1.2)/AKTIVITY_POZICIE!$B$41)),0)</f>
        <v>0</v>
      </c>
      <c r="X155" s="577">
        <f>IFERROR(IF((POZICIE_INTERNE!$B$40-12*('TCO TO BE- SW'!$D155-1))&gt;12,((X$4+'TCO TO BE - HW'!X$4)/($E$4+'TCO TO BE - HW'!$E$4)*SUM(POZICIE_INTERNE!$I$40:$I$51))/POZICIE_INTERNE!$B$40*12,IF((POZICIE_INTERNE!$B$40-12*('TCO TO BE- SW'!$D155-1))&lt;0,0,(POZICIE_INTERNE!$B$40-12*('TCO TO BE- SW'!$D155-1))*((X$4+'TCO TO BE - HW'!X$4)/($E$4+'TCO TO BE - HW'!$E$4)*SUM(POZICIE_INTERNE!$I$40:$I$51))/POZICIE_INTERNE!$B$40)),0)+IFERROR(IF((AKTIVITY_POZICIE!$B$41-12*('TCO TO BE- SW'!$D155-1))&gt;12,((X$4+'TCO TO BE - HW'!X$4)/($E$4+'TCO TO BE - HW'!$E$4)*SUM(AKTIVITY_POZICIE!$M$41:$M$52)*1.2)/AKTIVITY_POZICIE!$B$41*12,IF((AKTIVITY_POZICIE!$B$41-12*('TCO TO BE- SW'!$D155-1))&lt;0,0,(AKTIVITY_POZICIE!$B$41-12*('TCO TO BE- SW'!$D155-1))*((X$4+'TCO TO BE - HW'!X$4)/($E$4+'TCO TO BE - HW'!$E$4)*SUM(AKTIVITY_POZICIE!$M$41:$M$52)*1.2)/AKTIVITY_POZICIE!$B$41)),0)</f>
        <v>0</v>
      </c>
      <c r="Y155" s="577">
        <f>IFERROR(IF((POZICIE_INTERNE!$B$40-12*('TCO TO BE- SW'!$D155-1))&gt;12,((Y$4+'TCO TO BE - HW'!Y$4)/($E$4+'TCO TO BE - HW'!$E$4)*SUM(POZICIE_INTERNE!$I$40:$I$51))/POZICIE_INTERNE!$B$40*12,IF((POZICIE_INTERNE!$B$40-12*('TCO TO BE- SW'!$D155-1))&lt;0,0,(POZICIE_INTERNE!$B$40-12*('TCO TO BE- SW'!$D155-1))*((Y$4+'TCO TO BE - HW'!Y$4)/($E$4+'TCO TO BE - HW'!$E$4)*SUM(POZICIE_INTERNE!$I$40:$I$51))/POZICIE_INTERNE!$B$40)),0)+IFERROR(IF((AKTIVITY_POZICIE!$B$41-12*('TCO TO BE- SW'!$D155-1))&gt;12,((Y$4+'TCO TO BE - HW'!Y$4)/($E$4+'TCO TO BE - HW'!$E$4)*SUM(AKTIVITY_POZICIE!$M$41:$M$52)*1.2)/AKTIVITY_POZICIE!$B$41*12,IF((AKTIVITY_POZICIE!$B$41-12*('TCO TO BE- SW'!$D155-1))&lt;0,0,(AKTIVITY_POZICIE!$B$41-12*('TCO TO BE- SW'!$D155-1))*((Y$4+'TCO TO BE - HW'!Y$4)/($E$4+'TCO TO BE - HW'!$E$4)*SUM(AKTIVITY_POZICIE!$M$41:$M$52)*1.2)/AKTIVITY_POZICIE!$B$41)),0)</f>
        <v>0</v>
      </c>
      <c r="Z155" s="577">
        <f>IFERROR(IF((POZICIE_INTERNE!$B$40-12*('TCO TO BE- SW'!$D155-1))&gt;12,((Z$4+'TCO TO BE - HW'!Z$4)/($E$4+'TCO TO BE - HW'!$E$4)*SUM(POZICIE_INTERNE!$I$40:$I$51))/POZICIE_INTERNE!$B$40*12,IF((POZICIE_INTERNE!$B$40-12*('TCO TO BE- SW'!$D155-1))&lt;0,0,(POZICIE_INTERNE!$B$40-12*('TCO TO BE- SW'!$D155-1))*((Z$4+'TCO TO BE - HW'!Z$4)/($E$4+'TCO TO BE - HW'!$E$4)*SUM(POZICIE_INTERNE!$I$40:$I$51))/POZICIE_INTERNE!$B$40)),0)+IFERROR(IF((AKTIVITY_POZICIE!$B$41-12*('TCO TO BE- SW'!$D155-1))&gt;12,((Z$4+'TCO TO BE - HW'!Z$4)/($E$4+'TCO TO BE - HW'!$E$4)*SUM(AKTIVITY_POZICIE!$M$41:$M$52)*1.2)/AKTIVITY_POZICIE!$B$41*12,IF((AKTIVITY_POZICIE!$B$41-12*('TCO TO BE- SW'!$D155-1))&lt;0,0,(AKTIVITY_POZICIE!$B$41-12*('TCO TO BE- SW'!$D155-1))*((Z$4+'TCO TO BE - HW'!Z$4)/($E$4+'TCO TO BE - HW'!$E$4)*SUM(AKTIVITY_POZICIE!$M$41:$M$52)*1.2)/AKTIVITY_POZICIE!$B$41)),0)</f>
        <v>0</v>
      </c>
    </row>
    <row r="156" spans="1:26">
      <c r="A156" s="824"/>
      <c r="B156" s="825"/>
      <c r="C156" s="825"/>
      <c r="D156" s="64">
        <v>6</v>
      </c>
      <c r="E156" s="68">
        <f t="shared" si="16"/>
        <v>0</v>
      </c>
      <c r="F156" s="577">
        <f>IFERROR(IF((POZICIE_INTERNE!$B$40-12*('TCO TO BE- SW'!$D156-1))&gt;12,((F$4+'TCO TO BE - HW'!F$4)/($E$4+'TCO TO BE - HW'!$E$4)*SUM(POZICIE_INTERNE!$I$40:$I$51))/POZICIE_INTERNE!$B$40*12,IF((POZICIE_INTERNE!$B$40-12*('TCO TO BE- SW'!$D156-1))&lt;0,0,(POZICIE_INTERNE!$B$40-12*('TCO TO BE- SW'!$D156-1))*((F$4+'TCO TO BE - HW'!F$4)/($E$4+'TCO TO BE - HW'!$E$4)*SUM(POZICIE_INTERNE!$I$40:$I$51))/POZICIE_INTERNE!$B$40)),0)+IFERROR(IF((AKTIVITY_POZICIE!$B$41-12*('TCO TO BE- SW'!$D156-1))&gt;12,((F$4+'TCO TO BE - HW'!F$4)/($E$4+'TCO TO BE - HW'!$E$4)*SUM(AKTIVITY_POZICIE!$M$41:$M$52)*1.2)/AKTIVITY_POZICIE!$B$41*12,IF((AKTIVITY_POZICIE!$B$41-12*('TCO TO BE- SW'!$D156-1))&lt;0,0,(AKTIVITY_POZICIE!$B$41-12*('TCO TO BE- SW'!$D156-1))*((F$4+'TCO TO BE - HW'!F$4)/($E$4+'TCO TO BE - HW'!$E$4)*SUM(AKTIVITY_POZICIE!$M$41:$M$52)*1.2)/AKTIVITY_POZICIE!$B$41)),0)</f>
        <v>0</v>
      </c>
      <c r="G156" s="577">
        <f>IFERROR(IF((POZICIE_INTERNE!$B$40-12*('TCO TO BE- SW'!$D156-1))&gt;12,((G$4+'TCO TO BE - HW'!G$4)/($E$4+'TCO TO BE - HW'!$E$4)*SUM(POZICIE_INTERNE!$I$40:$I$51))/POZICIE_INTERNE!$B$40*12,IF((POZICIE_INTERNE!$B$40-12*('TCO TO BE- SW'!$D156-1))&lt;0,0,(POZICIE_INTERNE!$B$40-12*('TCO TO BE- SW'!$D156-1))*((G$4+'TCO TO BE - HW'!G$4)/($E$4+'TCO TO BE - HW'!$E$4)*SUM(POZICIE_INTERNE!$I$40:$I$51))/POZICIE_INTERNE!$B$40)),0)+IFERROR(IF((AKTIVITY_POZICIE!$B$41-12*('TCO TO BE- SW'!$D156-1))&gt;12,((G$4+'TCO TO BE - HW'!G$4)/($E$4+'TCO TO BE - HW'!$E$4)*SUM(AKTIVITY_POZICIE!$M$41:$M$52)*1.2)/AKTIVITY_POZICIE!$B$41*12,IF((AKTIVITY_POZICIE!$B$41-12*('TCO TO BE- SW'!$D156-1))&lt;0,0,(AKTIVITY_POZICIE!$B$41-12*('TCO TO BE- SW'!$D156-1))*((G$4+'TCO TO BE - HW'!G$4)/($E$4+'TCO TO BE - HW'!$E$4)*SUM(AKTIVITY_POZICIE!$M$41:$M$52)*1.2)/AKTIVITY_POZICIE!$B$41)),0)</f>
        <v>0</v>
      </c>
      <c r="H156" s="577">
        <f>IFERROR(IF((POZICIE_INTERNE!$B$40-12*('TCO TO BE- SW'!$D156-1))&gt;12,((H$4+'TCO TO BE - HW'!H$4)/($E$4+'TCO TO BE - HW'!$E$4)*SUM(POZICIE_INTERNE!$I$40:$I$51))/POZICIE_INTERNE!$B$40*12,IF((POZICIE_INTERNE!$B$40-12*('TCO TO BE- SW'!$D156-1))&lt;0,0,(POZICIE_INTERNE!$B$40-12*('TCO TO BE- SW'!$D156-1))*((H$4+'TCO TO BE - HW'!H$4)/($E$4+'TCO TO BE - HW'!$E$4)*SUM(POZICIE_INTERNE!$I$40:$I$51))/POZICIE_INTERNE!$B$40)),0)+IFERROR(IF((AKTIVITY_POZICIE!$B$41-12*('TCO TO BE- SW'!$D156-1))&gt;12,((H$4+'TCO TO BE - HW'!H$4)/($E$4+'TCO TO BE - HW'!$E$4)*SUM(AKTIVITY_POZICIE!$M$41:$M$52)*1.2)/AKTIVITY_POZICIE!$B$41*12,IF((AKTIVITY_POZICIE!$B$41-12*('TCO TO BE- SW'!$D156-1))&lt;0,0,(AKTIVITY_POZICIE!$B$41-12*('TCO TO BE- SW'!$D156-1))*((H$4+'TCO TO BE - HW'!H$4)/($E$4+'TCO TO BE - HW'!$E$4)*SUM(AKTIVITY_POZICIE!$M$41:$M$52)*1.2)/AKTIVITY_POZICIE!$B$41)),0)</f>
        <v>0</v>
      </c>
      <c r="I156" s="577">
        <f>IFERROR(IF((POZICIE_INTERNE!$B$40-12*('TCO TO BE- SW'!$D156-1))&gt;12,((I$4+'TCO TO BE - HW'!I$4)/($E$4+'TCO TO BE - HW'!$E$4)*SUM(POZICIE_INTERNE!$I$40:$I$51))/POZICIE_INTERNE!$B$40*12,IF((POZICIE_INTERNE!$B$40-12*('TCO TO BE- SW'!$D156-1))&lt;0,0,(POZICIE_INTERNE!$B$40-12*('TCO TO BE- SW'!$D156-1))*((I$4+'TCO TO BE - HW'!I$4)/($E$4+'TCO TO BE - HW'!$E$4)*SUM(POZICIE_INTERNE!$I$40:$I$51))/POZICIE_INTERNE!$B$40)),0)+IFERROR(IF((AKTIVITY_POZICIE!$B$41-12*('TCO TO BE- SW'!$D156-1))&gt;12,((I$4+'TCO TO BE - HW'!I$4)/($E$4+'TCO TO BE - HW'!$E$4)*SUM(AKTIVITY_POZICIE!$M$41:$M$52)*1.2)/AKTIVITY_POZICIE!$B$41*12,IF((AKTIVITY_POZICIE!$B$41-12*('TCO TO BE- SW'!$D156-1))&lt;0,0,(AKTIVITY_POZICIE!$B$41-12*('TCO TO BE- SW'!$D156-1))*((I$4+'TCO TO BE - HW'!I$4)/($E$4+'TCO TO BE - HW'!$E$4)*SUM(AKTIVITY_POZICIE!$M$41:$M$52)*1.2)/AKTIVITY_POZICIE!$B$41)),0)</f>
        <v>0</v>
      </c>
      <c r="J156" s="577">
        <f>IFERROR(IF((POZICIE_INTERNE!$B$40-12*('TCO TO BE- SW'!$D156-1))&gt;12,((J$4+'TCO TO BE - HW'!J$4)/($E$4+'TCO TO BE - HW'!$E$4)*SUM(POZICIE_INTERNE!$I$40:$I$51))/POZICIE_INTERNE!$B$40*12,IF((POZICIE_INTERNE!$B$40-12*('TCO TO BE- SW'!$D156-1))&lt;0,0,(POZICIE_INTERNE!$B$40-12*('TCO TO BE- SW'!$D156-1))*((J$4+'TCO TO BE - HW'!J$4)/($E$4+'TCO TO BE - HW'!$E$4)*SUM(POZICIE_INTERNE!$I$40:$I$51))/POZICIE_INTERNE!$B$40)),0)+IFERROR(IF((AKTIVITY_POZICIE!$B$41-12*('TCO TO BE- SW'!$D156-1))&gt;12,((J$4+'TCO TO BE - HW'!J$4)/($E$4+'TCO TO BE - HW'!$E$4)*SUM(AKTIVITY_POZICIE!$M$41:$M$52)*1.2)/AKTIVITY_POZICIE!$B$41*12,IF((AKTIVITY_POZICIE!$B$41-12*('TCO TO BE- SW'!$D156-1))&lt;0,0,(AKTIVITY_POZICIE!$B$41-12*('TCO TO BE- SW'!$D156-1))*((J$4+'TCO TO BE - HW'!J$4)/($E$4+'TCO TO BE - HW'!$E$4)*SUM(AKTIVITY_POZICIE!$M$41:$M$52)*1.2)/AKTIVITY_POZICIE!$B$41)),0)</f>
        <v>0</v>
      </c>
      <c r="K156" s="577">
        <f>IFERROR(IF((POZICIE_INTERNE!$B$40-12*('TCO TO BE- SW'!$D156-1))&gt;12,((K$4+'TCO TO BE - HW'!K$4)/($E$4+'TCO TO BE - HW'!$E$4)*SUM(POZICIE_INTERNE!$I$40:$I$51))/POZICIE_INTERNE!$B$40*12,IF((POZICIE_INTERNE!$B$40-12*('TCO TO BE- SW'!$D156-1))&lt;0,0,(POZICIE_INTERNE!$B$40-12*('TCO TO BE- SW'!$D156-1))*((K$4+'TCO TO BE - HW'!K$4)/($E$4+'TCO TO BE - HW'!$E$4)*SUM(POZICIE_INTERNE!$I$40:$I$51))/POZICIE_INTERNE!$B$40)),0)+IFERROR(IF((AKTIVITY_POZICIE!$B$41-12*('TCO TO BE- SW'!$D156-1))&gt;12,((K$4+'TCO TO BE - HW'!K$4)/($E$4+'TCO TO BE - HW'!$E$4)*SUM(AKTIVITY_POZICIE!$M$41:$M$52)*1.2)/AKTIVITY_POZICIE!$B$41*12,IF((AKTIVITY_POZICIE!$B$41-12*('TCO TO BE- SW'!$D156-1))&lt;0,0,(AKTIVITY_POZICIE!$B$41-12*('TCO TO BE- SW'!$D156-1))*((K$4+'TCO TO BE - HW'!K$4)/($E$4+'TCO TO BE - HW'!$E$4)*SUM(AKTIVITY_POZICIE!$M$41:$M$52)*1.2)/AKTIVITY_POZICIE!$B$41)),0)</f>
        <v>0</v>
      </c>
      <c r="L156" s="577">
        <f>IFERROR(IF((POZICIE_INTERNE!$B$40-12*('TCO TO BE- SW'!$D156-1))&gt;12,((L$4+'TCO TO BE - HW'!L$4)/($E$4+'TCO TO BE - HW'!$E$4)*SUM(POZICIE_INTERNE!$I$40:$I$51))/POZICIE_INTERNE!$B$40*12,IF((POZICIE_INTERNE!$B$40-12*('TCO TO BE- SW'!$D156-1))&lt;0,0,(POZICIE_INTERNE!$B$40-12*('TCO TO BE- SW'!$D156-1))*((L$4+'TCO TO BE - HW'!L$4)/($E$4+'TCO TO BE - HW'!$E$4)*SUM(POZICIE_INTERNE!$I$40:$I$51))/POZICIE_INTERNE!$B$40)),0)+IFERROR(IF((AKTIVITY_POZICIE!$B$41-12*('TCO TO BE- SW'!$D156-1))&gt;12,((L$4+'TCO TO BE - HW'!L$4)/($E$4+'TCO TO BE - HW'!$E$4)*SUM(AKTIVITY_POZICIE!$M$41:$M$52)*1.2)/AKTIVITY_POZICIE!$B$41*12,IF((AKTIVITY_POZICIE!$B$41-12*('TCO TO BE- SW'!$D156-1))&lt;0,0,(AKTIVITY_POZICIE!$B$41-12*('TCO TO BE- SW'!$D156-1))*((L$4+'TCO TO BE - HW'!L$4)/($E$4+'TCO TO BE - HW'!$E$4)*SUM(AKTIVITY_POZICIE!$M$41:$M$52)*1.2)/AKTIVITY_POZICIE!$B$41)),0)</f>
        <v>0</v>
      </c>
      <c r="M156" s="577">
        <f>IFERROR(IF((POZICIE_INTERNE!$B$40-12*('TCO TO BE- SW'!$D156-1))&gt;12,((M$4+'TCO TO BE - HW'!M$4)/($E$4+'TCO TO BE - HW'!$E$4)*SUM(POZICIE_INTERNE!$I$40:$I$51))/POZICIE_INTERNE!$B$40*12,IF((POZICIE_INTERNE!$B$40-12*('TCO TO BE- SW'!$D156-1))&lt;0,0,(POZICIE_INTERNE!$B$40-12*('TCO TO BE- SW'!$D156-1))*((M$4+'TCO TO BE - HW'!M$4)/($E$4+'TCO TO BE - HW'!$E$4)*SUM(POZICIE_INTERNE!$I$40:$I$51))/POZICIE_INTERNE!$B$40)),0)+IFERROR(IF((AKTIVITY_POZICIE!$B$41-12*('TCO TO BE- SW'!$D156-1))&gt;12,((M$4+'TCO TO BE - HW'!M$4)/($E$4+'TCO TO BE - HW'!$E$4)*SUM(AKTIVITY_POZICIE!$M$41:$M$52)*1.2)/AKTIVITY_POZICIE!$B$41*12,IF((AKTIVITY_POZICIE!$B$41-12*('TCO TO BE- SW'!$D156-1))&lt;0,0,(AKTIVITY_POZICIE!$B$41-12*('TCO TO BE- SW'!$D156-1))*((M$4+'TCO TO BE - HW'!M$4)/($E$4+'TCO TO BE - HW'!$E$4)*SUM(AKTIVITY_POZICIE!$M$41:$M$52)*1.2)/AKTIVITY_POZICIE!$B$41)),0)</f>
        <v>0</v>
      </c>
      <c r="N156" s="577">
        <f>IFERROR(IF((POZICIE_INTERNE!$B$40-12*('TCO TO BE- SW'!$D156-1))&gt;12,((N$4+'TCO TO BE - HW'!N$4)/($E$4+'TCO TO BE - HW'!$E$4)*SUM(POZICIE_INTERNE!$I$40:$I$51))/POZICIE_INTERNE!$B$40*12,IF((POZICIE_INTERNE!$B$40-12*('TCO TO BE- SW'!$D156-1))&lt;0,0,(POZICIE_INTERNE!$B$40-12*('TCO TO BE- SW'!$D156-1))*((N$4+'TCO TO BE - HW'!N$4)/($E$4+'TCO TO BE - HW'!$E$4)*SUM(POZICIE_INTERNE!$I$40:$I$51))/POZICIE_INTERNE!$B$40)),0)+IFERROR(IF((AKTIVITY_POZICIE!$B$41-12*('TCO TO BE- SW'!$D156-1))&gt;12,((N$4+'TCO TO BE - HW'!N$4)/($E$4+'TCO TO BE - HW'!$E$4)*SUM(AKTIVITY_POZICIE!$M$41:$M$52)*1.2)/AKTIVITY_POZICIE!$B$41*12,IF((AKTIVITY_POZICIE!$B$41-12*('TCO TO BE- SW'!$D156-1))&lt;0,0,(AKTIVITY_POZICIE!$B$41-12*('TCO TO BE- SW'!$D156-1))*((N$4+'TCO TO BE - HW'!N$4)/($E$4+'TCO TO BE - HW'!$E$4)*SUM(AKTIVITY_POZICIE!$M$41:$M$52)*1.2)/AKTIVITY_POZICIE!$B$41)),0)</f>
        <v>0</v>
      </c>
      <c r="O156" s="577">
        <f>IFERROR(IF((POZICIE_INTERNE!$B$40-12*('TCO TO BE- SW'!$D156-1))&gt;12,((O$4+'TCO TO BE - HW'!O$4)/($E$4+'TCO TO BE - HW'!$E$4)*SUM(POZICIE_INTERNE!$I$40:$I$51))/POZICIE_INTERNE!$B$40*12,IF((POZICIE_INTERNE!$B$40-12*('TCO TO BE- SW'!$D156-1))&lt;0,0,(POZICIE_INTERNE!$B$40-12*('TCO TO BE- SW'!$D156-1))*((O$4+'TCO TO BE - HW'!O$4)/($E$4+'TCO TO BE - HW'!$E$4)*SUM(POZICIE_INTERNE!$I$40:$I$51))/POZICIE_INTERNE!$B$40)),0)+IFERROR(IF((AKTIVITY_POZICIE!$B$41-12*('TCO TO BE- SW'!$D156-1))&gt;12,((O$4+'TCO TO BE - HW'!O$4)/($E$4+'TCO TO BE - HW'!$E$4)*SUM(AKTIVITY_POZICIE!$M$41:$M$52)*1.2)/AKTIVITY_POZICIE!$B$41*12,IF((AKTIVITY_POZICIE!$B$41-12*('TCO TO BE- SW'!$D156-1))&lt;0,0,(AKTIVITY_POZICIE!$B$41-12*('TCO TO BE- SW'!$D156-1))*((O$4+'TCO TO BE - HW'!O$4)/($E$4+'TCO TO BE - HW'!$E$4)*SUM(AKTIVITY_POZICIE!$M$41:$M$52)*1.2)/AKTIVITY_POZICIE!$B$41)),0)</f>
        <v>0</v>
      </c>
      <c r="P156" s="577">
        <f>IFERROR(IF((POZICIE_INTERNE!$B$40-12*('TCO TO BE- SW'!$D156-1))&gt;12,((P$4+'TCO TO BE - HW'!P$4)/($E$4+'TCO TO BE - HW'!$E$4)*SUM(POZICIE_INTERNE!$I$40:$I$51))/POZICIE_INTERNE!$B$40*12,IF((POZICIE_INTERNE!$B$40-12*('TCO TO BE- SW'!$D156-1))&lt;0,0,(POZICIE_INTERNE!$B$40-12*('TCO TO BE- SW'!$D156-1))*((P$4+'TCO TO BE - HW'!P$4)/($E$4+'TCO TO BE - HW'!$E$4)*SUM(POZICIE_INTERNE!$I$40:$I$51))/POZICIE_INTERNE!$B$40)),0)+IFERROR(IF((AKTIVITY_POZICIE!$B$41-12*('TCO TO BE- SW'!$D156-1))&gt;12,((P$4+'TCO TO BE - HW'!P$4)/($E$4+'TCO TO BE - HW'!$E$4)*SUM(AKTIVITY_POZICIE!$M$41:$M$52)*1.2)/AKTIVITY_POZICIE!$B$41*12,IF((AKTIVITY_POZICIE!$B$41-12*('TCO TO BE- SW'!$D156-1))&lt;0,0,(AKTIVITY_POZICIE!$B$41-12*('TCO TO BE- SW'!$D156-1))*((P$4+'TCO TO BE - HW'!P$4)/($E$4+'TCO TO BE - HW'!$E$4)*SUM(AKTIVITY_POZICIE!$M$41:$M$52)*1.2)/AKTIVITY_POZICIE!$B$41)),0)</f>
        <v>0</v>
      </c>
      <c r="Q156" s="577">
        <f>IFERROR(IF((POZICIE_INTERNE!$B$40-12*('TCO TO BE- SW'!$D156-1))&gt;12,((Q$4+'TCO TO BE - HW'!Q$4)/($E$4+'TCO TO BE - HW'!$E$4)*SUM(POZICIE_INTERNE!$I$40:$I$51))/POZICIE_INTERNE!$B$40*12,IF((POZICIE_INTERNE!$B$40-12*('TCO TO BE- SW'!$D156-1))&lt;0,0,(POZICIE_INTERNE!$B$40-12*('TCO TO BE- SW'!$D156-1))*((Q$4+'TCO TO BE - HW'!Q$4)/($E$4+'TCO TO BE - HW'!$E$4)*SUM(POZICIE_INTERNE!$I$40:$I$51))/POZICIE_INTERNE!$B$40)),0)+IFERROR(IF((AKTIVITY_POZICIE!$B$41-12*('TCO TO BE- SW'!$D156-1))&gt;12,((Q$4+'TCO TO BE - HW'!Q$4)/($E$4+'TCO TO BE - HW'!$E$4)*SUM(AKTIVITY_POZICIE!$M$41:$M$52)*1.2)/AKTIVITY_POZICIE!$B$41*12,IF((AKTIVITY_POZICIE!$B$41-12*('TCO TO BE- SW'!$D156-1))&lt;0,0,(AKTIVITY_POZICIE!$B$41-12*('TCO TO BE- SW'!$D156-1))*((Q$4+'TCO TO BE - HW'!Q$4)/($E$4+'TCO TO BE - HW'!$E$4)*SUM(AKTIVITY_POZICIE!$M$41:$M$52)*1.2)/AKTIVITY_POZICIE!$B$41)),0)</f>
        <v>0</v>
      </c>
      <c r="R156" s="577">
        <f>IFERROR(IF((POZICIE_INTERNE!$B$40-12*('TCO TO BE- SW'!$D156-1))&gt;12,((R$4+'TCO TO BE - HW'!R$4)/($E$4+'TCO TO BE - HW'!$E$4)*SUM(POZICIE_INTERNE!$I$40:$I$51))/POZICIE_INTERNE!$B$40*12,IF((POZICIE_INTERNE!$B$40-12*('TCO TO BE- SW'!$D156-1))&lt;0,0,(POZICIE_INTERNE!$B$40-12*('TCO TO BE- SW'!$D156-1))*((R$4+'TCO TO BE - HW'!R$4)/($E$4+'TCO TO BE - HW'!$E$4)*SUM(POZICIE_INTERNE!$I$40:$I$51))/POZICIE_INTERNE!$B$40)),0)+IFERROR(IF((AKTIVITY_POZICIE!$B$41-12*('TCO TO BE- SW'!$D156-1))&gt;12,((R$4+'TCO TO BE - HW'!R$4)/($E$4+'TCO TO BE - HW'!$E$4)*SUM(AKTIVITY_POZICIE!$M$41:$M$52)*1.2)/AKTIVITY_POZICIE!$B$41*12,IF((AKTIVITY_POZICIE!$B$41-12*('TCO TO BE- SW'!$D156-1))&lt;0,0,(AKTIVITY_POZICIE!$B$41-12*('TCO TO BE- SW'!$D156-1))*((R$4+'TCO TO BE - HW'!R$4)/($E$4+'TCO TO BE - HW'!$E$4)*SUM(AKTIVITY_POZICIE!$M$41:$M$52)*1.2)/AKTIVITY_POZICIE!$B$41)),0)</f>
        <v>0</v>
      </c>
      <c r="S156" s="577">
        <f>IFERROR(IF((POZICIE_INTERNE!$B$40-12*('TCO TO BE- SW'!$D156-1))&gt;12,((S$4+'TCO TO BE - HW'!S$4)/($E$4+'TCO TO BE - HW'!$E$4)*SUM(POZICIE_INTERNE!$I$40:$I$51))/POZICIE_INTERNE!$B$40*12,IF((POZICIE_INTERNE!$B$40-12*('TCO TO BE- SW'!$D156-1))&lt;0,0,(POZICIE_INTERNE!$B$40-12*('TCO TO BE- SW'!$D156-1))*((S$4+'TCO TO BE - HW'!S$4)/($E$4+'TCO TO BE - HW'!$E$4)*SUM(POZICIE_INTERNE!$I$40:$I$51))/POZICIE_INTERNE!$B$40)),0)+IFERROR(IF((AKTIVITY_POZICIE!$B$41-12*('TCO TO BE- SW'!$D156-1))&gt;12,((S$4+'TCO TO BE - HW'!S$4)/($E$4+'TCO TO BE - HW'!$E$4)*SUM(AKTIVITY_POZICIE!$M$41:$M$52)*1.2)/AKTIVITY_POZICIE!$B$41*12,IF((AKTIVITY_POZICIE!$B$41-12*('TCO TO BE- SW'!$D156-1))&lt;0,0,(AKTIVITY_POZICIE!$B$41-12*('TCO TO BE- SW'!$D156-1))*((S$4+'TCO TO BE - HW'!S$4)/($E$4+'TCO TO BE - HW'!$E$4)*SUM(AKTIVITY_POZICIE!$M$41:$M$52)*1.2)/AKTIVITY_POZICIE!$B$41)),0)</f>
        <v>0</v>
      </c>
      <c r="T156" s="577">
        <f>IFERROR(IF((POZICIE_INTERNE!$B$40-12*('TCO TO BE- SW'!$D156-1))&gt;12,((T$4+'TCO TO BE - HW'!T$4)/($E$4+'TCO TO BE - HW'!$E$4)*SUM(POZICIE_INTERNE!$I$40:$I$51))/POZICIE_INTERNE!$B$40*12,IF((POZICIE_INTERNE!$B$40-12*('TCO TO BE- SW'!$D156-1))&lt;0,0,(POZICIE_INTERNE!$B$40-12*('TCO TO BE- SW'!$D156-1))*((T$4+'TCO TO BE - HW'!T$4)/($E$4+'TCO TO BE - HW'!$E$4)*SUM(POZICIE_INTERNE!$I$40:$I$51))/POZICIE_INTERNE!$B$40)),0)+IFERROR(IF((AKTIVITY_POZICIE!$B$41-12*('TCO TO BE- SW'!$D156-1))&gt;12,((T$4+'TCO TO BE - HW'!T$4)/($E$4+'TCO TO BE - HW'!$E$4)*SUM(AKTIVITY_POZICIE!$M$41:$M$52)*1.2)/AKTIVITY_POZICIE!$B$41*12,IF((AKTIVITY_POZICIE!$B$41-12*('TCO TO BE- SW'!$D156-1))&lt;0,0,(AKTIVITY_POZICIE!$B$41-12*('TCO TO BE- SW'!$D156-1))*((T$4+'TCO TO BE - HW'!T$4)/($E$4+'TCO TO BE - HW'!$E$4)*SUM(AKTIVITY_POZICIE!$M$41:$M$52)*1.2)/AKTIVITY_POZICIE!$B$41)),0)</f>
        <v>0</v>
      </c>
      <c r="U156" s="577">
        <f>IFERROR(IF((POZICIE_INTERNE!$B$40-12*('TCO TO BE- SW'!$D156-1))&gt;12,((U$4+'TCO TO BE - HW'!U$4)/($E$4+'TCO TO BE - HW'!$E$4)*SUM(POZICIE_INTERNE!$I$40:$I$51))/POZICIE_INTERNE!$B$40*12,IF((POZICIE_INTERNE!$B$40-12*('TCO TO BE- SW'!$D156-1))&lt;0,0,(POZICIE_INTERNE!$B$40-12*('TCO TO BE- SW'!$D156-1))*((U$4+'TCO TO BE - HW'!U$4)/($E$4+'TCO TO BE - HW'!$E$4)*SUM(POZICIE_INTERNE!$I$40:$I$51))/POZICIE_INTERNE!$B$40)),0)+IFERROR(IF((AKTIVITY_POZICIE!$B$41-12*('TCO TO BE- SW'!$D156-1))&gt;12,((U$4+'TCO TO BE - HW'!U$4)/($E$4+'TCO TO BE - HW'!$E$4)*SUM(AKTIVITY_POZICIE!$M$41:$M$52)*1.2)/AKTIVITY_POZICIE!$B$41*12,IF((AKTIVITY_POZICIE!$B$41-12*('TCO TO BE- SW'!$D156-1))&lt;0,0,(AKTIVITY_POZICIE!$B$41-12*('TCO TO BE- SW'!$D156-1))*((U$4+'TCO TO BE - HW'!U$4)/($E$4+'TCO TO BE - HW'!$E$4)*SUM(AKTIVITY_POZICIE!$M$41:$M$52)*1.2)/AKTIVITY_POZICIE!$B$41)),0)</f>
        <v>0</v>
      </c>
      <c r="V156" s="577">
        <f>IFERROR(IF((POZICIE_INTERNE!$B$40-12*('TCO TO BE- SW'!$D156-1))&gt;12,((V$4+'TCO TO BE - HW'!V$4)/($E$4+'TCO TO BE - HW'!$E$4)*SUM(POZICIE_INTERNE!$I$40:$I$51))/POZICIE_INTERNE!$B$40*12,IF((POZICIE_INTERNE!$B$40-12*('TCO TO BE- SW'!$D156-1))&lt;0,0,(POZICIE_INTERNE!$B$40-12*('TCO TO BE- SW'!$D156-1))*((V$4+'TCO TO BE - HW'!V$4)/($E$4+'TCO TO BE - HW'!$E$4)*SUM(POZICIE_INTERNE!$I$40:$I$51))/POZICIE_INTERNE!$B$40)),0)+IFERROR(IF((AKTIVITY_POZICIE!$B$41-12*('TCO TO BE- SW'!$D156-1))&gt;12,((V$4+'TCO TO BE - HW'!V$4)/($E$4+'TCO TO BE - HW'!$E$4)*SUM(AKTIVITY_POZICIE!$M$41:$M$52)*1.2)/AKTIVITY_POZICIE!$B$41*12,IF((AKTIVITY_POZICIE!$B$41-12*('TCO TO BE- SW'!$D156-1))&lt;0,0,(AKTIVITY_POZICIE!$B$41-12*('TCO TO BE- SW'!$D156-1))*((V$4+'TCO TO BE - HW'!V$4)/($E$4+'TCO TO BE - HW'!$E$4)*SUM(AKTIVITY_POZICIE!$M$41:$M$52)*1.2)/AKTIVITY_POZICIE!$B$41)),0)</f>
        <v>0</v>
      </c>
      <c r="W156" s="577">
        <f>IFERROR(IF((POZICIE_INTERNE!$B$40-12*('TCO TO BE- SW'!$D156-1))&gt;12,((W$4+'TCO TO BE - HW'!W$4)/($E$4+'TCO TO BE - HW'!$E$4)*SUM(POZICIE_INTERNE!$I$40:$I$51))/POZICIE_INTERNE!$B$40*12,IF((POZICIE_INTERNE!$B$40-12*('TCO TO BE- SW'!$D156-1))&lt;0,0,(POZICIE_INTERNE!$B$40-12*('TCO TO BE- SW'!$D156-1))*((W$4+'TCO TO BE - HW'!W$4)/($E$4+'TCO TO BE - HW'!$E$4)*SUM(POZICIE_INTERNE!$I$40:$I$51))/POZICIE_INTERNE!$B$40)),0)+IFERROR(IF((AKTIVITY_POZICIE!$B$41-12*('TCO TO BE- SW'!$D156-1))&gt;12,((W$4+'TCO TO BE - HW'!W$4)/($E$4+'TCO TO BE - HW'!$E$4)*SUM(AKTIVITY_POZICIE!$M$41:$M$52)*1.2)/AKTIVITY_POZICIE!$B$41*12,IF((AKTIVITY_POZICIE!$B$41-12*('TCO TO BE- SW'!$D156-1))&lt;0,0,(AKTIVITY_POZICIE!$B$41-12*('TCO TO BE- SW'!$D156-1))*((W$4+'TCO TO BE - HW'!W$4)/($E$4+'TCO TO BE - HW'!$E$4)*SUM(AKTIVITY_POZICIE!$M$41:$M$52)*1.2)/AKTIVITY_POZICIE!$B$41)),0)</f>
        <v>0</v>
      </c>
      <c r="X156" s="577">
        <f>IFERROR(IF((POZICIE_INTERNE!$B$40-12*('TCO TO BE- SW'!$D156-1))&gt;12,((X$4+'TCO TO BE - HW'!X$4)/($E$4+'TCO TO BE - HW'!$E$4)*SUM(POZICIE_INTERNE!$I$40:$I$51))/POZICIE_INTERNE!$B$40*12,IF((POZICIE_INTERNE!$B$40-12*('TCO TO BE- SW'!$D156-1))&lt;0,0,(POZICIE_INTERNE!$B$40-12*('TCO TO BE- SW'!$D156-1))*((X$4+'TCO TO BE - HW'!X$4)/($E$4+'TCO TO BE - HW'!$E$4)*SUM(POZICIE_INTERNE!$I$40:$I$51))/POZICIE_INTERNE!$B$40)),0)+IFERROR(IF((AKTIVITY_POZICIE!$B$41-12*('TCO TO BE- SW'!$D156-1))&gt;12,((X$4+'TCO TO BE - HW'!X$4)/($E$4+'TCO TO BE - HW'!$E$4)*SUM(AKTIVITY_POZICIE!$M$41:$M$52)*1.2)/AKTIVITY_POZICIE!$B$41*12,IF((AKTIVITY_POZICIE!$B$41-12*('TCO TO BE- SW'!$D156-1))&lt;0,0,(AKTIVITY_POZICIE!$B$41-12*('TCO TO BE- SW'!$D156-1))*((X$4+'TCO TO BE - HW'!X$4)/($E$4+'TCO TO BE - HW'!$E$4)*SUM(AKTIVITY_POZICIE!$M$41:$M$52)*1.2)/AKTIVITY_POZICIE!$B$41)),0)</f>
        <v>0</v>
      </c>
      <c r="Y156" s="577">
        <f>IFERROR(IF((POZICIE_INTERNE!$B$40-12*('TCO TO BE- SW'!$D156-1))&gt;12,((Y$4+'TCO TO BE - HW'!Y$4)/($E$4+'TCO TO BE - HW'!$E$4)*SUM(POZICIE_INTERNE!$I$40:$I$51))/POZICIE_INTERNE!$B$40*12,IF((POZICIE_INTERNE!$B$40-12*('TCO TO BE- SW'!$D156-1))&lt;0,0,(POZICIE_INTERNE!$B$40-12*('TCO TO BE- SW'!$D156-1))*((Y$4+'TCO TO BE - HW'!Y$4)/($E$4+'TCO TO BE - HW'!$E$4)*SUM(POZICIE_INTERNE!$I$40:$I$51))/POZICIE_INTERNE!$B$40)),0)+IFERROR(IF((AKTIVITY_POZICIE!$B$41-12*('TCO TO BE- SW'!$D156-1))&gt;12,((Y$4+'TCO TO BE - HW'!Y$4)/($E$4+'TCO TO BE - HW'!$E$4)*SUM(AKTIVITY_POZICIE!$M$41:$M$52)*1.2)/AKTIVITY_POZICIE!$B$41*12,IF((AKTIVITY_POZICIE!$B$41-12*('TCO TO BE- SW'!$D156-1))&lt;0,0,(AKTIVITY_POZICIE!$B$41-12*('TCO TO BE- SW'!$D156-1))*((Y$4+'TCO TO BE - HW'!Y$4)/($E$4+'TCO TO BE - HW'!$E$4)*SUM(AKTIVITY_POZICIE!$M$41:$M$52)*1.2)/AKTIVITY_POZICIE!$B$41)),0)</f>
        <v>0</v>
      </c>
      <c r="Z156" s="577">
        <f>IFERROR(IF((POZICIE_INTERNE!$B$40-12*('TCO TO BE- SW'!$D156-1))&gt;12,((Z$4+'TCO TO BE - HW'!Z$4)/($E$4+'TCO TO BE - HW'!$E$4)*SUM(POZICIE_INTERNE!$I$40:$I$51))/POZICIE_INTERNE!$B$40*12,IF((POZICIE_INTERNE!$B$40-12*('TCO TO BE- SW'!$D156-1))&lt;0,0,(POZICIE_INTERNE!$B$40-12*('TCO TO BE- SW'!$D156-1))*((Z$4+'TCO TO BE - HW'!Z$4)/($E$4+'TCO TO BE - HW'!$E$4)*SUM(POZICIE_INTERNE!$I$40:$I$51))/POZICIE_INTERNE!$B$40)),0)+IFERROR(IF((AKTIVITY_POZICIE!$B$41-12*('TCO TO BE- SW'!$D156-1))&gt;12,((Z$4+'TCO TO BE - HW'!Z$4)/($E$4+'TCO TO BE - HW'!$E$4)*SUM(AKTIVITY_POZICIE!$M$41:$M$52)*1.2)/AKTIVITY_POZICIE!$B$41*12,IF((AKTIVITY_POZICIE!$B$41-12*('TCO TO BE- SW'!$D156-1))&lt;0,0,(AKTIVITY_POZICIE!$B$41-12*('TCO TO BE- SW'!$D156-1))*((Z$4+'TCO TO BE - HW'!Z$4)/($E$4+'TCO TO BE - HW'!$E$4)*SUM(AKTIVITY_POZICIE!$M$41:$M$52)*1.2)/AKTIVITY_POZICIE!$B$41)),0)</f>
        <v>0</v>
      </c>
    </row>
    <row r="157" spans="1:26">
      <c r="A157" s="824"/>
      <c r="B157" s="825"/>
      <c r="C157" s="825"/>
      <c r="D157" s="64">
        <v>7</v>
      </c>
      <c r="E157" s="68">
        <f t="shared" si="16"/>
        <v>0</v>
      </c>
      <c r="F157" s="577">
        <f>IFERROR(IF((POZICIE_INTERNE!$B$40-12*('TCO TO BE- SW'!$D157-1))&gt;12,((F$4+'TCO TO BE - HW'!F$4)/($E$4+'TCO TO BE - HW'!$E$4)*SUM(POZICIE_INTERNE!$I$40:$I$51))/POZICIE_INTERNE!$B$40*12,IF((POZICIE_INTERNE!$B$40-12*('TCO TO BE- SW'!$D157-1))&lt;0,0,(POZICIE_INTERNE!$B$40-12*('TCO TO BE- SW'!$D157-1))*((F$4+'TCO TO BE - HW'!F$4)/($E$4+'TCO TO BE - HW'!$E$4)*SUM(POZICIE_INTERNE!$I$40:$I$51))/POZICIE_INTERNE!$B$40)),0)+IFERROR(IF((AKTIVITY_POZICIE!$B$41-12*('TCO TO BE- SW'!$D157-1))&gt;12,((F$4+'TCO TO BE - HW'!F$4)/($E$4+'TCO TO BE - HW'!$E$4)*SUM(AKTIVITY_POZICIE!$M$41:$M$52)*1.2)/AKTIVITY_POZICIE!$B$41*12,IF((AKTIVITY_POZICIE!$B$41-12*('TCO TO BE- SW'!$D157-1))&lt;0,0,(AKTIVITY_POZICIE!$B$41-12*('TCO TO BE- SW'!$D157-1))*((F$4+'TCO TO BE - HW'!F$4)/($E$4+'TCO TO BE - HW'!$E$4)*SUM(AKTIVITY_POZICIE!$M$41:$M$52)*1.2)/AKTIVITY_POZICIE!$B$41)),0)</f>
        <v>0</v>
      </c>
      <c r="G157" s="577">
        <f>IFERROR(IF((POZICIE_INTERNE!$B$40-12*('TCO TO BE- SW'!$D157-1))&gt;12,((G$4+'TCO TO BE - HW'!G$4)/($E$4+'TCO TO BE - HW'!$E$4)*SUM(POZICIE_INTERNE!$I$40:$I$51))/POZICIE_INTERNE!$B$40*12,IF((POZICIE_INTERNE!$B$40-12*('TCO TO BE- SW'!$D157-1))&lt;0,0,(POZICIE_INTERNE!$B$40-12*('TCO TO BE- SW'!$D157-1))*((G$4+'TCO TO BE - HW'!G$4)/($E$4+'TCO TO BE - HW'!$E$4)*SUM(POZICIE_INTERNE!$I$40:$I$51))/POZICIE_INTERNE!$B$40)),0)+IFERROR(IF((AKTIVITY_POZICIE!$B$41-12*('TCO TO BE- SW'!$D157-1))&gt;12,((G$4+'TCO TO BE - HW'!G$4)/($E$4+'TCO TO BE - HW'!$E$4)*SUM(AKTIVITY_POZICIE!$M$41:$M$52)*1.2)/AKTIVITY_POZICIE!$B$41*12,IF((AKTIVITY_POZICIE!$B$41-12*('TCO TO BE- SW'!$D157-1))&lt;0,0,(AKTIVITY_POZICIE!$B$41-12*('TCO TO BE- SW'!$D157-1))*((G$4+'TCO TO BE - HW'!G$4)/($E$4+'TCO TO BE - HW'!$E$4)*SUM(AKTIVITY_POZICIE!$M$41:$M$52)*1.2)/AKTIVITY_POZICIE!$B$41)),0)</f>
        <v>0</v>
      </c>
      <c r="H157" s="577">
        <f>IFERROR(IF((POZICIE_INTERNE!$B$40-12*('TCO TO BE- SW'!$D157-1))&gt;12,((H$4+'TCO TO BE - HW'!H$4)/($E$4+'TCO TO BE - HW'!$E$4)*SUM(POZICIE_INTERNE!$I$40:$I$51))/POZICIE_INTERNE!$B$40*12,IF((POZICIE_INTERNE!$B$40-12*('TCO TO BE- SW'!$D157-1))&lt;0,0,(POZICIE_INTERNE!$B$40-12*('TCO TO BE- SW'!$D157-1))*((H$4+'TCO TO BE - HW'!H$4)/($E$4+'TCO TO BE - HW'!$E$4)*SUM(POZICIE_INTERNE!$I$40:$I$51))/POZICIE_INTERNE!$B$40)),0)+IFERROR(IF((AKTIVITY_POZICIE!$B$41-12*('TCO TO BE- SW'!$D157-1))&gt;12,((H$4+'TCO TO BE - HW'!H$4)/($E$4+'TCO TO BE - HW'!$E$4)*SUM(AKTIVITY_POZICIE!$M$41:$M$52)*1.2)/AKTIVITY_POZICIE!$B$41*12,IF((AKTIVITY_POZICIE!$B$41-12*('TCO TO BE- SW'!$D157-1))&lt;0,0,(AKTIVITY_POZICIE!$B$41-12*('TCO TO BE- SW'!$D157-1))*((H$4+'TCO TO BE - HW'!H$4)/($E$4+'TCO TO BE - HW'!$E$4)*SUM(AKTIVITY_POZICIE!$M$41:$M$52)*1.2)/AKTIVITY_POZICIE!$B$41)),0)</f>
        <v>0</v>
      </c>
      <c r="I157" s="577">
        <f>IFERROR(IF((POZICIE_INTERNE!$B$40-12*('TCO TO BE- SW'!$D157-1))&gt;12,((I$4+'TCO TO BE - HW'!I$4)/($E$4+'TCO TO BE - HW'!$E$4)*SUM(POZICIE_INTERNE!$I$40:$I$51))/POZICIE_INTERNE!$B$40*12,IF((POZICIE_INTERNE!$B$40-12*('TCO TO BE- SW'!$D157-1))&lt;0,0,(POZICIE_INTERNE!$B$40-12*('TCO TO BE- SW'!$D157-1))*((I$4+'TCO TO BE - HW'!I$4)/($E$4+'TCO TO BE - HW'!$E$4)*SUM(POZICIE_INTERNE!$I$40:$I$51))/POZICIE_INTERNE!$B$40)),0)+IFERROR(IF((AKTIVITY_POZICIE!$B$41-12*('TCO TO BE- SW'!$D157-1))&gt;12,((I$4+'TCO TO BE - HW'!I$4)/($E$4+'TCO TO BE - HW'!$E$4)*SUM(AKTIVITY_POZICIE!$M$41:$M$52)*1.2)/AKTIVITY_POZICIE!$B$41*12,IF((AKTIVITY_POZICIE!$B$41-12*('TCO TO BE- SW'!$D157-1))&lt;0,0,(AKTIVITY_POZICIE!$B$41-12*('TCO TO BE- SW'!$D157-1))*((I$4+'TCO TO BE - HW'!I$4)/($E$4+'TCO TO BE - HW'!$E$4)*SUM(AKTIVITY_POZICIE!$M$41:$M$52)*1.2)/AKTIVITY_POZICIE!$B$41)),0)</f>
        <v>0</v>
      </c>
      <c r="J157" s="577">
        <f>IFERROR(IF((POZICIE_INTERNE!$B$40-12*('TCO TO BE- SW'!$D157-1))&gt;12,((J$4+'TCO TO BE - HW'!J$4)/($E$4+'TCO TO BE - HW'!$E$4)*SUM(POZICIE_INTERNE!$I$40:$I$51))/POZICIE_INTERNE!$B$40*12,IF((POZICIE_INTERNE!$B$40-12*('TCO TO BE- SW'!$D157-1))&lt;0,0,(POZICIE_INTERNE!$B$40-12*('TCO TO BE- SW'!$D157-1))*((J$4+'TCO TO BE - HW'!J$4)/($E$4+'TCO TO BE - HW'!$E$4)*SUM(POZICIE_INTERNE!$I$40:$I$51))/POZICIE_INTERNE!$B$40)),0)+IFERROR(IF((AKTIVITY_POZICIE!$B$41-12*('TCO TO BE- SW'!$D157-1))&gt;12,((J$4+'TCO TO BE - HW'!J$4)/($E$4+'TCO TO BE - HW'!$E$4)*SUM(AKTIVITY_POZICIE!$M$41:$M$52)*1.2)/AKTIVITY_POZICIE!$B$41*12,IF((AKTIVITY_POZICIE!$B$41-12*('TCO TO BE- SW'!$D157-1))&lt;0,0,(AKTIVITY_POZICIE!$B$41-12*('TCO TO BE- SW'!$D157-1))*((J$4+'TCO TO BE - HW'!J$4)/($E$4+'TCO TO BE - HW'!$E$4)*SUM(AKTIVITY_POZICIE!$M$41:$M$52)*1.2)/AKTIVITY_POZICIE!$B$41)),0)</f>
        <v>0</v>
      </c>
      <c r="K157" s="577">
        <f>IFERROR(IF((POZICIE_INTERNE!$B$40-12*('TCO TO BE- SW'!$D157-1))&gt;12,((K$4+'TCO TO BE - HW'!K$4)/($E$4+'TCO TO BE - HW'!$E$4)*SUM(POZICIE_INTERNE!$I$40:$I$51))/POZICIE_INTERNE!$B$40*12,IF((POZICIE_INTERNE!$B$40-12*('TCO TO BE- SW'!$D157-1))&lt;0,0,(POZICIE_INTERNE!$B$40-12*('TCO TO BE- SW'!$D157-1))*((K$4+'TCO TO BE - HW'!K$4)/($E$4+'TCO TO BE - HW'!$E$4)*SUM(POZICIE_INTERNE!$I$40:$I$51))/POZICIE_INTERNE!$B$40)),0)+IFERROR(IF((AKTIVITY_POZICIE!$B$41-12*('TCO TO BE- SW'!$D157-1))&gt;12,((K$4+'TCO TO BE - HW'!K$4)/($E$4+'TCO TO BE - HW'!$E$4)*SUM(AKTIVITY_POZICIE!$M$41:$M$52)*1.2)/AKTIVITY_POZICIE!$B$41*12,IF((AKTIVITY_POZICIE!$B$41-12*('TCO TO BE- SW'!$D157-1))&lt;0,0,(AKTIVITY_POZICIE!$B$41-12*('TCO TO BE- SW'!$D157-1))*((K$4+'TCO TO BE - HW'!K$4)/($E$4+'TCO TO BE - HW'!$E$4)*SUM(AKTIVITY_POZICIE!$M$41:$M$52)*1.2)/AKTIVITY_POZICIE!$B$41)),0)</f>
        <v>0</v>
      </c>
      <c r="L157" s="577">
        <f>IFERROR(IF((POZICIE_INTERNE!$B$40-12*('TCO TO BE- SW'!$D157-1))&gt;12,((L$4+'TCO TO BE - HW'!L$4)/($E$4+'TCO TO BE - HW'!$E$4)*SUM(POZICIE_INTERNE!$I$40:$I$51))/POZICIE_INTERNE!$B$40*12,IF((POZICIE_INTERNE!$B$40-12*('TCO TO BE- SW'!$D157-1))&lt;0,0,(POZICIE_INTERNE!$B$40-12*('TCO TO BE- SW'!$D157-1))*((L$4+'TCO TO BE - HW'!L$4)/($E$4+'TCO TO BE - HW'!$E$4)*SUM(POZICIE_INTERNE!$I$40:$I$51))/POZICIE_INTERNE!$B$40)),0)+IFERROR(IF((AKTIVITY_POZICIE!$B$41-12*('TCO TO BE- SW'!$D157-1))&gt;12,((L$4+'TCO TO BE - HW'!L$4)/($E$4+'TCO TO BE - HW'!$E$4)*SUM(AKTIVITY_POZICIE!$M$41:$M$52)*1.2)/AKTIVITY_POZICIE!$B$41*12,IF((AKTIVITY_POZICIE!$B$41-12*('TCO TO BE- SW'!$D157-1))&lt;0,0,(AKTIVITY_POZICIE!$B$41-12*('TCO TO BE- SW'!$D157-1))*((L$4+'TCO TO BE - HW'!L$4)/($E$4+'TCO TO BE - HW'!$E$4)*SUM(AKTIVITY_POZICIE!$M$41:$M$52)*1.2)/AKTIVITY_POZICIE!$B$41)),0)</f>
        <v>0</v>
      </c>
      <c r="M157" s="577">
        <f>IFERROR(IF((POZICIE_INTERNE!$B$40-12*('TCO TO BE- SW'!$D157-1))&gt;12,((M$4+'TCO TO BE - HW'!M$4)/($E$4+'TCO TO BE - HW'!$E$4)*SUM(POZICIE_INTERNE!$I$40:$I$51))/POZICIE_INTERNE!$B$40*12,IF((POZICIE_INTERNE!$B$40-12*('TCO TO BE- SW'!$D157-1))&lt;0,0,(POZICIE_INTERNE!$B$40-12*('TCO TO BE- SW'!$D157-1))*((M$4+'TCO TO BE - HW'!M$4)/($E$4+'TCO TO BE - HW'!$E$4)*SUM(POZICIE_INTERNE!$I$40:$I$51))/POZICIE_INTERNE!$B$40)),0)+IFERROR(IF((AKTIVITY_POZICIE!$B$41-12*('TCO TO BE- SW'!$D157-1))&gt;12,((M$4+'TCO TO BE - HW'!M$4)/($E$4+'TCO TO BE - HW'!$E$4)*SUM(AKTIVITY_POZICIE!$M$41:$M$52)*1.2)/AKTIVITY_POZICIE!$B$41*12,IF((AKTIVITY_POZICIE!$B$41-12*('TCO TO BE- SW'!$D157-1))&lt;0,0,(AKTIVITY_POZICIE!$B$41-12*('TCO TO BE- SW'!$D157-1))*((M$4+'TCO TO BE - HW'!M$4)/($E$4+'TCO TO BE - HW'!$E$4)*SUM(AKTIVITY_POZICIE!$M$41:$M$52)*1.2)/AKTIVITY_POZICIE!$B$41)),0)</f>
        <v>0</v>
      </c>
      <c r="N157" s="577">
        <f>IFERROR(IF((POZICIE_INTERNE!$B$40-12*('TCO TO BE- SW'!$D157-1))&gt;12,((N$4+'TCO TO BE - HW'!N$4)/($E$4+'TCO TO BE - HW'!$E$4)*SUM(POZICIE_INTERNE!$I$40:$I$51))/POZICIE_INTERNE!$B$40*12,IF((POZICIE_INTERNE!$B$40-12*('TCO TO BE- SW'!$D157-1))&lt;0,0,(POZICIE_INTERNE!$B$40-12*('TCO TO BE- SW'!$D157-1))*((N$4+'TCO TO BE - HW'!N$4)/($E$4+'TCO TO BE - HW'!$E$4)*SUM(POZICIE_INTERNE!$I$40:$I$51))/POZICIE_INTERNE!$B$40)),0)+IFERROR(IF((AKTIVITY_POZICIE!$B$41-12*('TCO TO BE- SW'!$D157-1))&gt;12,((N$4+'TCO TO BE - HW'!N$4)/($E$4+'TCO TO BE - HW'!$E$4)*SUM(AKTIVITY_POZICIE!$M$41:$M$52)*1.2)/AKTIVITY_POZICIE!$B$41*12,IF((AKTIVITY_POZICIE!$B$41-12*('TCO TO BE- SW'!$D157-1))&lt;0,0,(AKTIVITY_POZICIE!$B$41-12*('TCO TO BE- SW'!$D157-1))*((N$4+'TCO TO BE - HW'!N$4)/($E$4+'TCO TO BE - HW'!$E$4)*SUM(AKTIVITY_POZICIE!$M$41:$M$52)*1.2)/AKTIVITY_POZICIE!$B$41)),0)</f>
        <v>0</v>
      </c>
      <c r="O157" s="577">
        <f>IFERROR(IF((POZICIE_INTERNE!$B$40-12*('TCO TO BE- SW'!$D157-1))&gt;12,((O$4+'TCO TO BE - HW'!O$4)/($E$4+'TCO TO BE - HW'!$E$4)*SUM(POZICIE_INTERNE!$I$40:$I$51))/POZICIE_INTERNE!$B$40*12,IF((POZICIE_INTERNE!$B$40-12*('TCO TO BE- SW'!$D157-1))&lt;0,0,(POZICIE_INTERNE!$B$40-12*('TCO TO BE- SW'!$D157-1))*((O$4+'TCO TO BE - HW'!O$4)/($E$4+'TCO TO BE - HW'!$E$4)*SUM(POZICIE_INTERNE!$I$40:$I$51))/POZICIE_INTERNE!$B$40)),0)+IFERROR(IF((AKTIVITY_POZICIE!$B$41-12*('TCO TO BE- SW'!$D157-1))&gt;12,((O$4+'TCO TO BE - HW'!O$4)/($E$4+'TCO TO BE - HW'!$E$4)*SUM(AKTIVITY_POZICIE!$M$41:$M$52)*1.2)/AKTIVITY_POZICIE!$B$41*12,IF((AKTIVITY_POZICIE!$B$41-12*('TCO TO BE- SW'!$D157-1))&lt;0,0,(AKTIVITY_POZICIE!$B$41-12*('TCO TO BE- SW'!$D157-1))*((O$4+'TCO TO BE - HW'!O$4)/($E$4+'TCO TO BE - HW'!$E$4)*SUM(AKTIVITY_POZICIE!$M$41:$M$52)*1.2)/AKTIVITY_POZICIE!$B$41)),0)</f>
        <v>0</v>
      </c>
      <c r="P157" s="577">
        <f>IFERROR(IF((POZICIE_INTERNE!$B$40-12*('TCO TO BE- SW'!$D157-1))&gt;12,((P$4+'TCO TO BE - HW'!P$4)/($E$4+'TCO TO BE - HW'!$E$4)*SUM(POZICIE_INTERNE!$I$40:$I$51))/POZICIE_INTERNE!$B$40*12,IF((POZICIE_INTERNE!$B$40-12*('TCO TO BE- SW'!$D157-1))&lt;0,0,(POZICIE_INTERNE!$B$40-12*('TCO TO BE- SW'!$D157-1))*((P$4+'TCO TO BE - HW'!P$4)/($E$4+'TCO TO BE - HW'!$E$4)*SUM(POZICIE_INTERNE!$I$40:$I$51))/POZICIE_INTERNE!$B$40)),0)+IFERROR(IF((AKTIVITY_POZICIE!$B$41-12*('TCO TO BE- SW'!$D157-1))&gt;12,((P$4+'TCO TO BE - HW'!P$4)/($E$4+'TCO TO BE - HW'!$E$4)*SUM(AKTIVITY_POZICIE!$M$41:$M$52)*1.2)/AKTIVITY_POZICIE!$B$41*12,IF((AKTIVITY_POZICIE!$B$41-12*('TCO TO BE- SW'!$D157-1))&lt;0,0,(AKTIVITY_POZICIE!$B$41-12*('TCO TO BE- SW'!$D157-1))*((P$4+'TCO TO BE - HW'!P$4)/($E$4+'TCO TO BE - HW'!$E$4)*SUM(AKTIVITY_POZICIE!$M$41:$M$52)*1.2)/AKTIVITY_POZICIE!$B$41)),0)</f>
        <v>0</v>
      </c>
      <c r="Q157" s="577">
        <f>IFERROR(IF((POZICIE_INTERNE!$B$40-12*('TCO TO BE- SW'!$D157-1))&gt;12,((Q$4+'TCO TO BE - HW'!Q$4)/($E$4+'TCO TO BE - HW'!$E$4)*SUM(POZICIE_INTERNE!$I$40:$I$51))/POZICIE_INTERNE!$B$40*12,IF((POZICIE_INTERNE!$B$40-12*('TCO TO BE- SW'!$D157-1))&lt;0,0,(POZICIE_INTERNE!$B$40-12*('TCO TO BE- SW'!$D157-1))*((Q$4+'TCO TO BE - HW'!Q$4)/($E$4+'TCO TO BE - HW'!$E$4)*SUM(POZICIE_INTERNE!$I$40:$I$51))/POZICIE_INTERNE!$B$40)),0)+IFERROR(IF((AKTIVITY_POZICIE!$B$41-12*('TCO TO BE- SW'!$D157-1))&gt;12,((Q$4+'TCO TO BE - HW'!Q$4)/($E$4+'TCO TO BE - HW'!$E$4)*SUM(AKTIVITY_POZICIE!$M$41:$M$52)*1.2)/AKTIVITY_POZICIE!$B$41*12,IF((AKTIVITY_POZICIE!$B$41-12*('TCO TO BE- SW'!$D157-1))&lt;0,0,(AKTIVITY_POZICIE!$B$41-12*('TCO TO BE- SW'!$D157-1))*((Q$4+'TCO TO BE - HW'!Q$4)/($E$4+'TCO TO BE - HW'!$E$4)*SUM(AKTIVITY_POZICIE!$M$41:$M$52)*1.2)/AKTIVITY_POZICIE!$B$41)),0)</f>
        <v>0</v>
      </c>
      <c r="R157" s="577">
        <f>IFERROR(IF((POZICIE_INTERNE!$B$40-12*('TCO TO BE- SW'!$D157-1))&gt;12,((R$4+'TCO TO BE - HW'!R$4)/($E$4+'TCO TO BE - HW'!$E$4)*SUM(POZICIE_INTERNE!$I$40:$I$51))/POZICIE_INTERNE!$B$40*12,IF((POZICIE_INTERNE!$B$40-12*('TCO TO BE- SW'!$D157-1))&lt;0,0,(POZICIE_INTERNE!$B$40-12*('TCO TO BE- SW'!$D157-1))*((R$4+'TCO TO BE - HW'!R$4)/($E$4+'TCO TO BE - HW'!$E$4)*SUM(POZICIE_INTERNE!$I$40:$I$51))/POZICIE_INTERNE!$B$40)),0)+IFERROR(IF((AKTIVITY_POZICIE!$B$41-12*('TCO TO BE- SW'!$D157-1))&gt;12,((R$4+'TCO TO BE - HW'!R$4)/($E$4+'TCO TO BE - HW'!$E$4)*SUM(AKTIVITY_POZICIE!$M$41:$M$52)*1.2)/AKTIVITY_POZICIE!$B$41*12,IF((AKTIVITY_POZICIE!$B$41-12*('TCO TO BE- SW'!$D157-1))&lt;0,0,(AKTIVITY_POZICIE!$B$41-12*('TCO TO BE- SW'!$D157-1))*((R$4+'TCO TO BE - HW'!R$4)/($E$4+'TCO TO BE - HW'!$E$4)*SUM(AKTIVITY_POZICIE!$M$41:$M$52)*1.2)/AKTIVITY_POZICIE!$B$41)),0)</f>
        <v>0</v>
      </c>
      <c r="S157" s="577">
        <f>IFERROR(IF((POZICIE_INTERNE!$B$40-12*('TCO TO BE- SW'!$D157-1))&gt;12,((S$4+'TCO TO BE - HW'!S$4)/($E$4+'TCO TO BE - HW'!$E$4)*SUM(POZICIE_INTERNE!$I$40:$I$51))/POZICIE_INTERNE!$B$40*12,IF((POZICIE_INTERNE!$B$40-12*('TCO TO BE- SW'!$D157-1))&lt;0,0,(POZICIE_INTERNE!$B$40-12*('TCO TO BE- SW'!$D157-1))*((S$4+'TCO TO BE - HW'!S$4)/($E$4+'TCO TO BE - HW'!$E$4)*SUM(POZICIE_INTERNE!$I$40:$I$51))/POZICIE_INTERNE!$B$40)),0)+IFERROR(IF((AKTIVITY_POZICIE!$B$41-12*('TCO TO BE- SW'!$D157-1))&gt;12,((S$4+'TCO TO BE - HW'!S$4)/($E$4+'TCO TO BE - HW'!$E$4)*SUM(AKTIVITY_POZICIE!$M$41:$M$52)*1.2)/AKTIVITY_POZICIE!$B$41*12,IF((AKTIVITY_POZICIE!$B$41-12*('TCO TO BE- SW'!$D157-1))&lt;0,0,(AKTIVITY_POZICIE!$B$41-12*('TCO TO BE- SW'!$D157-1))*((S$4+'TCO TO BE - HW'!S$4)/($E$4+'TCO TO BE - HW'!$E$4)*SUM(AKTIVITY_POZICIE!$M$41:$M$52)*1.2)/AKTIVITY_POZICIE!$B$41)),0)</f>
        <v>0</v>
      </c>
      <c r="T157" s="577">
        <f>IFERROR(IF((POZICIE_INTERNE!$B$40-12*('TCO TO BE- SW'!$D157-1))&gt;12,((T$4+'TCO TO BE - HW'!T$4)/($E$4+'TCO TO BE - HW'!$E$4)*SUM(POZICIE_INTERNE!$I$40:$I$51))/POZICIE_INTERNE!$B$40*12,IF((POZICIE_INTERNE!$B$40-12*('TCO TO BE- SW'!$D157-1))&lt;0,0,(POZICIE_INTERNE!$B$40-12*('TCO TO BE- SW'!$D157-1))*((T$4+'TCO TO BE - HW'!T$4)/($E$4+'TCO TO BE - HW'!$E$4)*SUM(POZICIE_INTERNE!$I$40:$I$51))/POZICIE_INTERNE!$B$40)),0)+IFERROR(IF((AKTIVITY_POZICIE!$B$41-12*('TCO TO BE- SW'!$D157-1))&gt;12,((T$4+'TCO TO BE - HW'!T$4)/($E$4+'TCO TO BE - HW'!$E$4)*SUM(AKTIVITY_POZICIE!$M$41:$M$52)*1.2)/AKTIVITY_POZICIE!$B$41*12,IF((AKTIVITY_POZICIE!$B$41-12*('TCO TO BE- SW'!$D157-1))&lt;0,0,(AKTIVITY_POZICIE!$B$41-12*('TCO TO BE- SW'!$D157-1))*((T$4+'TCO TO BE - HW'!T$4)/($E$4+'TCO TO BE - HW'!$E$4)*SUM(AKTIVITY_POZICIE!$M$41:$M$52)*1.2)/AKTIVITY_POZICIE!$B$41)),0)</f>
        <v>0</v>
      </c>
      <c r="U157" s="577">
        <f>IFERROR(IF((POZICIE_INTERNE!$B$40-12*('TCO TO BE- SW'!$D157-1))&gt;12,((U$4+'TCO TO BE - HW'!U$4)/($E$4+'TCO TO BE - HW'!$E$4)*SUM(POZICIE_INTERNE!$I$40:$I$51))/POZICIE_INTERNE!$B$40*12,IF((POZICIE_INTERNE!$B$40-12*('TCO TO BE- SW'!$D157-1))&lt;0,0,(POZICIE_INTERNE!$B$40-12*('TCO TO BE- SW'!$D157-1))*((U$4+'TCO TO BE - HW'!U$4)/($E$4+'TCO TO BE - HW'!$E$4)*SUM(POZICIE_INTERNE!$I$40:$I$51))/POZICIE_INTERNE!$B$40)),0)+IFERROR(IF((AKTIVITY_POZICIE!$B$41-12*('TCO TO BE- SW'!$D157-1))&gt;12,((U$4+'TCO TO BE - HW'!U$4)/($E$4+'TCO TO BE - HW'!$E$4)*SUM(AKTIVITY_POZICIE!$M$41:$M$52)*1.2)/AKTIVITY_POZICIE!$B$41*12,IF((AKTIVITY_POZICIE!$B$41-12*('TCO TO BE- SW'!$D157-1))&lt;0,0,(AKTIVITY_POZICIE!$B$41-12*('TCO TO BE- SW'!$D157-1))*((U$4+'TCO TO BE - HW'!U$4)/($E$4+'TCO TO BE - HW'!$E$4)*SUM(AKTIVITY_POZICIE!$M$41:$M$52)*1.2)/AKTIVITY_POZICIE!$B$41)),0)</f>
        <v>0</v>
      </c>
      <c r="V157" s="577">
        <f>IFERROR(IF((POZICIE_INTERNE!$B$40-12*('TCO TO BE- SW'!$D157-1))&gt;12,((V$4+'TCO TO BE - HW'!V$4)/($E$4+'TCO TO BE - HW'!$E$4)*SUM(POZICIE_INTERNE!$I$40:$I$51))/POZICIE_INTERNE!$B$40*12,IF((POZICIE_INTERNE!$B$40-12*('TCO TO BE- SW'!$D157-1))&lt;0,0,(POZICIE_INTERNE!$B$40-12*('TCO TO BE- SW'!$D157-1))*((V$4+'TCO TO BE - HW'!V$4)/($E$4+'TCO TO BE - HW'!$E$4)*SUM(POZICIE_INTERNE!$I$40:$I$51))/POZICIE_INTERNE!$B$40)),0)+IFERROR(IF((AKTIVITY_POZICIE!$B$41-12*('TCO TO BE- SW'!$D157-1))&gt;12,((V$4+'TCO TO BE - HW'!V$4)/($E$4+'TCO TO BE - HW'!$E$4)*SUM(AKTIVITY_POZICIE!$M$41:$M$52)*1.2)/AKTIVITY_POZICIE!$B$41*12,IF((AKTIVITY_POZICIE!$B$41-12*('TCO TO BE- SW'!$D157-1))&lt;0,0,(AKTIVITY_POZICIE!$B$41-12*('TCO TO BE- SW'!$D157-1))*((V$4+'TCO TO BE - HW'!V$4)/($E$4+'TCO TO BE - HW'!$E$4)*SUM(AKTIVITY_POZICIE!$M$41:$M$52)*1.2)/AKTIVITY_POZICIE!$B$41)),0)</f>
        <v>0</v>
      </c>
      <c r="W157" s="577">
        <f>IFERROR(IF((POZICIE_INTERNE!$B$40-12*('TCO TO BE- SW'!$D157-1))&gt;12,((W$4+'TCO TO BE - HW'!W$4)/($E$4+'TCO TO BE - HW'!$E$4)*SUM(POZICIE_INTERNE!$I$40:$I$51))/POZICIE_INTERNE!$B$40*12,IF((POZICIE_INTERNE!$B$40-12*('TCO TO BE- SW'!$D157-1))&lt;0,0,(POZICIE_INTERNE!$B$40-12*('TCO TO BE- SW'!$D157-1))*((W$4+'TCO TO BE - HW'!W$4)/($E$4+'TCO TO BE - HW'!$E$4)*SUM(POZICIE_INTERNE!$I$40:$I$51))/POZICIE_INTERNE!$B$40)),0)+IFERROR(IF((AKTIVITY_POZICIE!$B$41-12*('TCO TO BE- SW'!$D157-1))&gt;12,((W$4+'TCO TO BE - HW'!W$4)/($E$4+'TCO TO BE - HW'!$E$4)*SUM(AKTIVITY_POZICIE!$M$41:$M$52)*1.2)/AKTIVITY_POZICIE!$B$41*12,IF((AKTIVITY_POZICIE!$B$41-12*('TCO TO BE- SW'!$D157-1))&lt;0,0,(AKTIVITY_POZICIE!$B$41-12*('TCO TO BE- SW'!$D157-1))*((W$4+'TCO TO BE - HW'!W$4)/($E$4+'TCO TO BE - HW'!$E$4)*SUM(AKTIVITY_POZICIE!$M$41:$M$52)*1.2)/AKTIVITY_POZICIE!$B$41)),0)</f>
        <v>0</v>
      </c>
      <c r="X157" s="577">
        <f>IFERROR(IF((POZICIE_INTERNE!$B$40-12*('TCO TO BE- SW'!$D157-1))&gt;12,((X$4+'TCO TO BE - HW'!X$4)/($E$4+'TCO TO BE - HW'!$E$4)*SUM(POZICIE_INTERNE!$I$40:$I$51))/POZICIE_INTERNE!$B$40*12,IF((POZICIE_INTERNE!$B$40-12*('TCO TO BE- SW'!$D157-1))&lt;0,0,(POZICIE_INTERNE!$B$40-12*('TCO TO BE- SW'!$D157-1))*((X$4+'TCO TO BE - HW'!X$4)/($E$4+'TCO TO BE - HW'!$E$4)*SUM(POZICIE_INTERNE!$I$40:$I$51))/POZICIE_INTERNE!$B$40)),0)+IFERROR(IF((AKTIVITY_POZICIE!$B$41-12*('TCO TO BE- SW'!$D157-1))&gt;12,((X$4+'TCO TO BE - HW'!X$4)/($E$4+'TCO TO BE - HW'!$E$4)*SUM(AKTIVITY_POZICIE!$M$41:$M$52)*1.2)/AKTIVITY_POZICIE!$B$41*12,IF((AKTIVITY_POZICIE!$B$41-12*('TCO TO BE- SW'!$D157-1))&lt;0,0,(AKTIVITY_POZICIE!$B$41-12*('TCO TO BE- SW'!$D157-1))*((X$4+'TCO TO BE - HW'!X$4)/($E$4+'TCO TO BE - HW'!$E$4)*SUM(AKTIVITY_POZICIE!$M$41:$M$52)*1.2)/AKTIVITY_POZICIE!$B$41)),0)</f>
        <v>0</v>
      </c>
      <c r="Y157" s="577">
        <f>IFERROR(IF((POZICIE_INTERNE!$B$40-12*('TCO TO BE- SW'!$D157-1))&gt;12,((Y$4+'TCO TO BE - HW'!Y$4)/($E$4+'TCO TO BE - HW'!$E$4)*SUM(POZICIE_INTERNE!$I$40:$I$51))/POZICIE_INTERNE!$B$40*12,IF((POZICIE_INTERNE!$B$40-12*('TCO TO BE- SW'!$D157-1))&lt;0,0,(POZICIE_INTERNE!$B$40-12*('TCO TO BE- SW'!$D157-1))*((Y$4+'TCO TO BE - HW'!Y$4)/($E$4+'TCO TO BE - HW'!$E$4)*SUM(POZICIE_INTERNE!$I$40:$I$51))/POZICIE_INTERNE!$B$40)),0)+IFERROR(IF((AKTIVITY_POZICIE!$B$41-12*('TCO TO BE- SW'!$D157-1))&gt;12,((Y$4+'TCO TO BE - HW'!Y$4)/($E$4+'TCO TO BE - HW'!$E$4)*SUM(AKTIVITY_POZICIE!$M$41:$M$52)*1.2)/AKTIVITY_POZICIE!$B$41*12,IF((AKTIVITY_POZICIE!$B$41-12*('TCO TO BE- SW'!$D157-1))&lt;0,0,(AKTIVITY_POZICIE!$B$41-12*('TCO TO BE- SW'!$D157-1))*((Y$4+'TCO TO BE - HW'!Y$4)/($E$4+'TCO TO BE - HW'!$E$4)*SUM(AKTIVITY_POZICIE!$M$41:$M$52)*1.2)/AKTIVITY_POZICIE!$B$41)),0)</f>
        <v>0</v>
      </c>
      <c r="Z157" s="577">
        <f>IFERROR(IF((POZICIE_INTERNE!$B$40-12*('TCO TO BE- SW'!$D157-1))&gt;12,((Z$4+'TCO TO BE - HW'!Z$4)/($E$4+'TCO TO BE - HW'!$E$4)*SUM(POZICIE_INTERNE!$I$40:$I$51))/POZICIE_INTERNE!$B$40*12,IF((POZICIE_INTERNE!$B$40-12*('TCO TO BE- SW'!$D157-1))&lt;0,0,(POZICIE_INTERNE!$B$40-12*('TCO TO BE- SW'!$D157-1))*((Z$4+'TCO TO BE - HW'!Z$4)/($E$4+'TCO TO BE - HW'!$E$4)*SUM(POZICIE_INTERNE!$I$40:$I$51))/POZICIE_INTERNE!$B$40)),0)+IFERROR(IF((AKTIVITY_POZICIE!$B$41-12*('TCO TO BE- SW'!$D157-1))&gt;12,((Z$4+'TCO TO BE - HW'!Z$4)/($E$4+'TCO TO BE - HW'!$E$4)*SUM(AKTIVITY_POZICIE!$M$41:$M$52)*1.2)/AKTIVITY_POZICIE!$B$41*12,IF((AKTIVITY_POZICIE!$B$41-12*('TCO TO BE- SW'!$D157-1))&lt;0,0,(AKTIVITY_POZICIE!$B$41-12*('TCO TO BE- SW'!$D157-1))*((Z$4+'TCO TO BE - HW'!Z$4)/($E$4+'TCO TO BE - HW'!$E$4)*SUM(AKTIVITY_POZICIE!$M$41:$M$52)*1.2)/AKTIVITY_POZICIE!$B$41)),0)</f>
        <v>0</v>
      </c>
    </row>
    <row r="158" spans="1:26">
      <c r="A158" s="824"/>
      <c r="B158" s="825"/>
      <c r="C158" s="825"/>
      <c r="D158" s="64">
        <v>8</v>
      </c>
      <c r="E158" s="68">
        <f t="shared" si="16"/>
        <v>0</v>
      </c>
      <c r="F158" s="577">
        <f>IFERROR(IF((POZICIE_INTERNE!$B$40-12*('TCO TO BE- SW'!$D158-1))&gt;12,((F$4+'TCO TO BE - HW'!F$4)/($E$4+'TCO TO BE - HW'!$E$4)*SUM(POZICIE_INTERNE!$I$40:$I$51))/POZICIE_INTERNE!$B$40*12,IF((POZICIE_INTERNE!$B$40-12*('TCO TO BE- SW'!$D158-1))&lt;0,0,(POZICIE_INTERNE!$B$40-12*('TCO TO BE- SW'!$D158-1))*((F$4+'TCO TO BE - HW'!F$4)/($E$4+'TCO TO BE - HW'!$E$4)*SUM(POZICIE_INTERNE!$I$40:$I$51))/POZICIE_INTERNE!$B$40)),0)+IFERROR(IF((AKTIVITY_POZICIE!$B$41-12*('TCO TO BE- SW'!$D158-1))&gt;12,((F$4+'TCO TO BE - HW'!F$4)/($E$4+'TCO TO BE - HW'!$E$4)*SUM(AKTIVITY_POZICIE!$M$41:$M$52)*1.2)/AKTIVITY_POZICIE!$B$41*12,IF((AKTIVITY_POZICIE!$B$41-12*('TCO TO BE- SW'!$D158-1))&lt;0,0,(AKTIVITY_POZICIE!$B$41-12*('TCO TO BE- SW'!$D158-1))*((F$4+'TCO TO BE - HW'!F$4)/($E$4+'TCO TO BE - HW'!$E$4)*SUM(AKTIVITY_POZICIE!$M$41:$M$52)*1.2)/AKTIVITY_POZICIE!$B$41)),0)</f>
        <v>0</v>
      </c>
      <c r="G158" s="577">
        <f>IFERROR(IF((POZICIE_INTERNE!$B$40-12*('TCO TO BE- SW'!$D158-1))&gt;12,((G$4+'TCO TO BE - HW'!G$4)/($E$4+'TCO TO BE - HW'!$E$4)*SUM(POZICIE_INTERNE!$I$40:$I$51))/POZICIE_INTERNE!$B$40*12,IF((POZICIE_INTERNE!$B$40-12*('TCO TO BE- SW'!$D158-1))&lt;0,0,(POZICIE_INTERNE!$B$40-12*('TCO TO BE- SW'!$D158-1))*((G$4+'TCO TO BE - HW'!G$4)/($E$4+'TCO TO BE - HW'!$E$4)*SUM(POZICIE_INTERNE!$I$40:$I$51))/POZICIE_INTERNE!$B$40)),0)+IFERROR(IF((AKTIVITY_POZICIE!$B$41-12*('TCO TO BE- SW'!$D158-1))&gt;12,((G$4+'TCO TO BE - HW'!G$4)/($E$4+'TCO TO BE - HW'!$E$4)*SUM(AKTIVITY_POZICIE!$M$41:$M$52)*1.2)/AKTIVITY_POZICIE!$B$41*12,IF((AKTIVITY_POZICIE!$B$41-12*('TCO TO BE- SW'!$D158-1))&lt;0,0,(AKTIVITY_POZICIE!$B$41-12*('TCO TO BE- SW'!$D158-1))*((G$4+'TCO TO BE - HW'!G$4)/($E$4+'TCO TO BE - HW'!$E$4)*SUM(AKTIVITY_POZICIE!$M$41:$M$52)*1.2)/AKTIVITY_POZICIE!$B$41)),0)</f>
        <v>0</v>
      </c>
      <c r="H158" s="577">
        <f>IFERROR(IF((POZICIE_INTERNE!$B$40-12*('TCO TO BE- SW'!$D158-1))&gt;12,((H$4+'TCO TO BE - HW'!H$4)/($E$4+'TCO TO BE - HW'!$E$4)*SUM(POZICIE_INTERNE!$I$40:$I$51))/POZICIE_INTERNE!$B$40*12,IF((POZICIE_INTERNE!$B$40-12*('TCO TO BE- SW'!$D158-1))&lt;0,0,(POZICIE_INTERNE!$B$40-12*('TCO TO BE- SW'!$D158-1))*((H$4+'TCO TO BE - HW'!H$4)/($E$4+'TCO TO BE - HW'!$E$4)*SUM(POZICIE_INTERNE!$I$40:$I$51))/POZICIE_INTERNE!$B$40)),0)+IFERROR(IF((AKTIVITY_POZICIE!$B$41-12*('TCO TO BE- SW'!$D158-1))&gt;12,((H$4+'TCO TO BE - HW'!H$4)/($E$4+'TCO TO BE - HW'!$E$4)*SUM(AKTIVITY_POZICIE!$M$41:$M$52)*1.2)/AKTIVITY_POZICIE!$B$41*12,IF((AKTIVITY_POZICIE!$B$41-12*('TCO TO BE- SW'!$D158-1))&lt;0,0,(AKTIVITY_POZICIE!$B$41-12*('TCO TO BE- SW'!$D158-1))*((H$4+'TCO TO BE - HW'!H$4)/($E$4+'TCO TO BE - HW'!$E$4)*SUM(AKTIVITY_POZICIE!$M$41:$M$52)*1.2)/AKTIVITY_POZICIE!$B$41)),0)</f>
        <v>0</v>
      </c>
      <c r="I158" s="577">
        <f>IFERROR(IF((POZICIE_INTERNE!$B$40-12*('TCO TO BE- SW'!$D158-1))&gt;12,((I$4+'TCO TO BE - HW'!I$4)/($E$4+'TCO TO BE - HW'!$E$4)*SUM(POZICIE_INTERNE!$I$40:$I$51))/POZICIE_INTERNE!$B$40*12,IF((POZICIE_INTERNE!$B$40-12*('TCO TO BE- SW'!$D158-1))&lt;0,0,(POZICIE_INTERNE!$B$40-12*('TCO TO BE- SW'!$D158-1))*((I$4+'TCO TO BE - HW'!I$4)/($E$4+'TCO TO BE - HW'!$E$4)*SUM(POZICIE_INTERNE!$I$40:$I$51))/POZICIE_INTERNE!$B$40)),0)+IFERROR(IF((AKTIVITY_POZICIE!$B$41-12*('TCO TO BE- SW'!$D158-1))&gt;12,((I$4+'TCO TO BE - HW'!I$4)/($E$4+'TCO TO BE - HW'!$E$4)*SUM(AKTIVITY_POZICIE!$M$41:$M$52)*1.2)/AKTIVITY_POZICIE!$B$41*12,IF((AKTIVITY_POZICIE!$B$41-12*('TCO TO BE- SW'!$D158-1))&lt;0,0,(AKTIVITY_POZICIE!$B$41-12*('TCO TO BE- SW'!$D158-1))*((I$4+'TCO TO BE - HW'!I$4)/($E$4+'TCO TO BE - HW'!$E$4)*SUM(AKTIVITY_POZICIE!$M$41:$M$52)*1.2)/AKTIVITY_POZICIE!$B$41)),0)</f>
        <v>0</v>
      </c>
      <c r="J158" s="577">
        <f>IFERROR(IF((POZICIE_INTERNE!$B$40-12*('TCO TO BE- SW'!$D158-1))&gt;12,((J$4+'TCO TO BE - HW'!J$4)/($E$4+'TCO TO BE - HW'!$E$4)*SUM(POZICIE_INTERNE!$I$40:$I$51))/POZICIE_INTERNE!$B$40*12,IF((POZICIE_INTERNE!$B$40-12*('TCO TO BE- SW'!$D158-1))&lt;0,0,(POZICIE_INTERNE!$B$40-12*('TCO TO BE- SW'!$D158-1))*((J$4+'TCO TO BE - HW'!J$4)/($E$4+'TCO TO BE - HW'!$E$4)*SUM(POZICIE_INTERNE!$I$40:$I$51))/POZICIE_INTERNE!$B$40)),0)+IFERROR(IF((AKTIVITY_POZICIE!$B$41-12*('TCO TO BE- SW'!$D158-1))&gt;12,((J$4+'TCO TO BE - HW'!J$4)/($E$4+'TCO TO BE - HW'!$E$4)*SUM(AKTIVITY_POZICIE!$M$41:$M$52)*1.2)/AKTIVITY_POZICIE!$B$41*12,IF((AKTIVITY_POZICIE!$B$41-12*('TCO TO BE- SW'!$D158-1))&lt;0,0,(AKTIVITY_POZICIE!$B$41-12*('TCO TO BE- SW'!$D158-1))*((J$4+'TCO TO BE - HW'!J$4)/($E$4+'TCO TO BE - HW'!$E$4)*SUM(AKTIVITY_POZICIE!$M$41:$M$52)*1.2)/AKTIVITY_POZICIE!$B$41)),0)</f>
        <v>0</v>
      </c>
      <c r="K158" s="577">
        <f>IFERROR(IF((POZICIE_INTERNE!$B$40-12*('TCO TO BE- SW'!$D158-1))&gt;12,((K$4+'TCO TO BE - HW'!K$4)/($E$4+'TCO TO BE - HW'!$E$4)*SUM(POZICIE_INTERNE!$I$40:$I$51))/POZICIE_INTERNE!$B$40*12,IF((POZICIE_INTERNE!$B$40-12*('TCO TO BE- SW'!$D158-1))&lt;0,0,(POZICIE_INTERNE!$B$40-12*('TCO TO BE- SW'!$D158-1))*((K$4+'TCO TO BE - HW'!K$4)/($E$4+'TCO TO BE - HW'!$E$4)*SUM(POZICIE_INTERNE!$I$40:$I$51))/POZICIE_INTERNE!$B$40)),0)+IFERROR(IF((AKTIVITY_POZICIE!$B$41-12*('TCO TO BE- SW'!$D158-1))&gt;12,((K$4+'TCO TO BE - HW'!K$4)/($E$4+'TCO TO BE - HW'!$E$4)*SUM(AKTIVITY_POZICIE!$M$41:$M$52)*1.2)/AKTIVITY_POZICIE!$B$41*12,IF((AKTIVITY_POZICIE!$B$41-12*('TCO TO BE- SW'!$D158-1))&lt;0,0,(AKTIVITY_POZICIE!$B$41-12*('TCO TO BE- SW'!$D158-1))*((K$4+'TCO TO BE - HW'!K$4)/($E$4+'TCO TO BE - HW'!$E$4)*SUM(AKTIVITY_POZICIE!$M$41:$M$52)*1.2)/AKTIVITY_POZICIE!$B$41)),0)</f>
        <v>0</v>
      </c>
      <c r="L158" s="577">
        <f>IFERROR(IF((POZICIE_INTERNE!$B$40-12*('TCO TO BE- SW'!$D158-1))&gt;12,((L$4+'TCO TO BE - HW'!L$4)/($E$4+'TCO TO BE - HW'!$E$4)*SUM(POZICIE_INTERNE!$I$40:$I$51))/POZICIE_INTERNE!$B$40*12,IF((POZICIE_INTERNE!$B$40-12*('TCO TO BE- SW'!$D158-1))&lt;0,0,(POZICIE_INTERNE!$B$40-12*('TCO TO BE- SW'!$D158-1))*((L$4+'TCO TO BE - HW'!L$4)/($E$4+'TCO TO BE - HW'!$E$4)*SUM(POZICIE_INTERNE!$I$40:$I$51))/POZICIE_INTERNE!$B$40)),0)+IFERROR(IF((AKTIVITY_POZICIE!$B$41-12*('TCO TO BE- SW'!$D158-1))&gt;12,((L$4+'TCO TO BE - HW'!L$4)/($E$4+'TCO TO BE - HW'!$E$4)*SUM(AKTIVITY_POZICIE!$M$41:$M$52)*1.2)/AKTIVITY_POZICIE!$B$41*12,IF((AKTIVITY_POZICIE!$B$41-12*('TCO TO BE- SW'!$D158-1))&lt;0,0,(AKTIVITY_POZICIE!$B$41-12*('TCO TO BE- SW'!$D158-1))*((L$4+'TCO TO BE - HW'!L$4)/($E$4+'TCO TO BE - HW'!$E$4)*SUM(AKTIVITY_POZICIE!$M$41:$M$52)*1.2)/AKTIVITY_POZICIE!$B$41)),0)</f>
        <v>0</v>
      </c>
      <c r="M158" s="577">
        <f>IFERROR(IF((POZICIE_INTERNE!$B$40-12*('TCO TO BE- SW'!$D158-1))&gt;12,((M$4+'TCO TO BE - HW'!M$4)/($E$4+'TCO TO BE - HW'!$E$4)*SUM(POZICIE_INTERNE!$I$40:$I$51))/POZICIE_INTERNE!$B$40*12,IF((POZICIE_INTERNE!$B$40-12*('TCO TO BE- SW'!$D158-1))&lt;0,0,(POZICIE_INTERNE!$B$40-12*('TCO TO BE- SW'!$D158-1))*((M$4+'TCO TO BE - HW'!M$4)/($E$4+'TCO TO BE - HW'!$E$4)*SUM(POZICIE_INTERNE!$I$40:$I$51))/POZICIE_INTERNE!$B$40)),0)+IFERROR(IF((AKTIVITY_POZICIE!$B$41-12*('TCO TO BE- SW'!$D158-1))&gt;12,((M$4+'TCO TO BE - HW'!M$4)/($E$4+'TCO TO BE - HW'!$E$4)*SUM(AKTIVITY_POZICIE!$M$41:$M$52)*1.2)/AKTIVITY_POZICIE!$B$41*12,IF((AKTIVITY_POZICIE!$B$41-12*('TCO TO BE- SW'!$D158-1))&lt;0,0,(AKTIVITY_POZICIE!$B$41-12*('TCO TO BE- SW'!$D158-1))*((M$4+'TCO TO BE - HW'!M$4)/($E$4+'TCO TO BE - HW'!$E$4)*SUM(AKTIVITY_POZICIE!$M$41:$M$52)*1.2)/AKTIVITY_POZICIE!$B$41)),0)</f>
        <v>0</v>
      </c>
      <c r="N158" s="577">
        <f>IFERROR(IF((POZICIE_INTERNE!$B$40-12*('TCO TO BE- SW'!$D158-1))&gt;12,((N$4+'TCO TO BE - HW'!N$4)/($E$4+'TCO TO BE - HW'!$E$4)*SUM(POZICIE_INTERNE!$I$40:$I$51))/POZICIE_INTERNE!$B$40*12,IF((POZICIE_INTERNE!$B$40-12*('TCO TO BE- SW'!$D158-1))&lt;0,0,(POZICIE_INTERNE!$B$40-12*('TCO TO BE- SW'!$D158-1))*((N$4+'TCO TO BE - HW'!N$4)/($E$4+'TCO TO BE - HW'!$E$4)*SUM(POZICIE_INTERNE!$I$40:$I$51))/POZICIE_INTERNE!$B$40)),0)+IFERROR(IF((AKTIVITY_POZICIE!$B$41-12*('TCO TO BE- SW'!$D158-1))&gt;12,((N$4+'TCO TO BE - HW'!N$4)/($E$4+'TCO TO BE - HW'!$E$4)*SUM(AKTIVITY_POZICIE!$M$41:$M$52)*1.2)/AKTIVITY_POZICIE!$B$41*12,IF((AKTIVITY_POZICIE!$B$41-12*('TCO TO BE- SW'!$D158-1))&lt;0,0,(AKTIVITY_POZICIE!$B$41-12*('TCO TO BE- SW'!$D158-1))*((N$4+'TCO TO BE - HW'!N$4)/($E$4+'TCO TO BE - HW'!$E$4)*SUM(AKTIVITY_POZICIE!$M$41:$M$52)*1.2)/AKTIVITY_POZICIE!$B$41)),0)</f>
        <v>0</v>
      </c>
      <c r="O158" s="577">
        <f>IFERROR(IF((POZICIE_INTERNE!$B$40-12*('TCO TO BE- SW'!$D158-1))&gt;12,((O$4+'TCO TO BE - HW'!O$4)/($E$4+'TCO TO BE - HW'!$E$4)*SUM(POZICIE_INTERNE!$I$40:$I$51))/POZICIE_INTERNE!$B$40*12,IF((POZICIE_INTERNE!$B$40-12*('TCO TO BE- SW'!$D158-1))&lt;0,0,(POZICIE_INTERNE!$B$40-12*('TCO TO BE- SW'!$D158-1))*((O$4+'TCO TO BE - HW'!O$4)/($E$4+'TCO TO BE - HW'!$E$4)*SUM(POZICIE_INTERNE!$I$40:$I$51))/POZICIE_INTERNE!$B$40)),0)+IFERROR(IF((AKTIVITY_POZICIE!$B$41-12*('TCO TO BE- SW'!$D158-1))&gt;12,((O$4+'TCO TO BE - HW'!O$4)/($E$4+'TCO TO BE - HW'!$E$4)*SUM(AKTIVITY_POZICIE!$M$41:$M$52)*1.2)/AKTIVITY_POZICIE!$B$41*12,IF((AKTIVITY_POZICIE!$B$41-12*('TCO TO BE- SW'!$D158-1))&lt;0,0,(AKTIVITY_POZICIE!$B$41-12*('TCO TO BE- SW'!$D158-1))*((O$4+'TCO TO BE - HW'!O$4)/($E$4+'TCO TO BE - HW'!$E$4)*SUM(AKTIVITY_POZICIE!$M$41:$M$52)*1.2)/AKTIVITY_POZICIE!$B$41)),0)</f>
        <v>0</v>
      </c>
      <c r="P158" s="577">
        <f>IFERROR(IF((POZICIE_INTERNE!$B$40-12*('TCO TO BE- SW'!$D158-1))&gt;12,((P$4+'TCO TO BE - HW'!P$4)/($E$4+'TCO TO BE - HW'!$E$4)*SUM(POZICIE_INTERNE!$I$40:$I$51))/POZICIE_INTERNE!$B$40*12,IF((POZICIE_INTERNE!$B$40-12*('TCO TO BE- SW'!$D158-1))&lt;0,0,(POZICIE_INTERNE!$B$40-12*('TCO TO BE- SW'!$D158-1))*((P$4+'TCO TO BE - HW'!P$4)/($E$4+'TCO TO BE - HW'!$E$4)*SUM(POZICIE_INTERNE!$I$40:$I$51))/POZICIE_INTERNE!$B$40)),0)+IFERROR(IF((AKTIVITY_POZICIE!$B$41-12*('TCO TO BE- SW'!$D158-1))&gt;12,((P$4+'TCO TO BE - HW'!P$4)/($E$4+'TCO TO BE - HW'!$E$4)*SUM(AKTIVITY_POZICIE!$M$41:$M$52)*1.2)/AKTIVITY_POZICIE!$B$41*12,IF((AKTIVITY_POZICIE!$B$41-12*('TCO TO BE- SW'!$D158-1))&lt;0,0,(AKTIVITY_POZICIE!$B$41-12*('TCO TO BE- SW'!$D158-1))*((P$4+'TCO TO BE - HW'!P$4)/($E$4+'TCO TO BE - HW'!$E$4)*SUM(AKTIVITY_POZICIE!$M$41:$M$52)*1.2)/AKTIVITY_POZICIE!$B$41)),0)</f>
        <v>0</v>
      </c>
      <c r="Q158" s="577">
        <f>IFERROR(IF((POZICIE_INTERNE!$B$40-12*('TCO TO BE- SW'!$D158-1))&gt;12,((Q$4+'TCO TO BE - HW'!Q$4)/($E$4+'TCO TO BE - HW'!$E$4)*SUM(POZICIE_INTERNE!$I$40:$I$51))/POZICIE_INTERNE!$B$40*12,IF((POZICIE_INTERNE!$B$40-12*('TCO TO BE- SW'!$D158-1))&lt;0,0,(POZICIE_INTERNE!$B$40-12*('TCO TO BE- SW'!$D158-1))*((Q$4+'TCO TO BE - HW'!Q$4)/($E$4+'TCO TO BE - HW'!$E$4)*SUM(POZICIE_INTERNE!$I$40:$I$51))/POZICIE_INTERNE!$B$40)),0)+IFERROR(IF((AKTIVITY_POZICIE!$B$41-12*('TCO TO BE- SW'!$D158-1))&gt;12,((Q$4+'TCO TO BE - HW'!Q$4)/($E$4+'TCO TO BE - HW'!$E$4)*SUM(AKTIVITY_POZICIE!$M$41:$M$52)*1.2)/AKTIVITY_POZICIE!$B$41*12,IF((AKTIVITY_POZICIE!$B$41-12*('TCO TO BE- SW'!$D158-1))&lt;0,0,(AKTIVITY_POZICIE!$B$41-12*('TCO TO BE- SW'!$D158-1))*((Q$4+'TCO TO BE - HW'!Q$4)/($E$4+'TCO TO BE - HW'!$E$4)*SUM(AKTIVITY_POZICIE!$M$41:$M$52)*1.2)/AKTIVITY_POZICIE!$B$41)),0)</f>
        <v>0</v>
      </c>
      <c r="R158" s="577">
        <f>IFERROR(IF((POZICIE_INTERNE!$B$40-12*('TCO TO BE- SW'!$D158-1))&gt;12,((R$4+'TCO TO BE - HW'!R$4)/($E$4+'TCO TO BE - HW'!$E$4)*SUM(POZICIE_INTERNE!$I$40:$I$51))/POZICIE_INTERNE!$B$40*12,IF((POZICIE_INTERNE!$B$40-12*('TCO TO BE- SW'!$D158-1))&lt;0,0,(POZICIE_INTERNE!$B$40-12*('TCO TO BE- SW'!$D158-1))*((R$4+'TCO TO BE - HW'!R$4)/($E$4+'TCO TO BE - HW'!$E$4)*SUM(POZICIE_INTERNE!$I$40:$I$51))/POZICIE_INTERNE!$B$40)),0)+IFERROR(IF((AKTIVITY_POZICIE!$B$41-12*('TCO TO BE- SW'!$D158-1))&gt;12,((R$4+'TCO TO BE - HW'!R$4)/($E$4+'TCO TO BE - HW'!$E$4)*SUM(AKTIVITY_POZICIE!$M$41:$M$52)*1.2)/AKTIVITY_POZICIE!$B$41*12,IF((AKTIVITY_POZICIE!$B$41-12*('TCO TO BE- SW'!$D158-1))&lt;0,0,(AKTIVITY_POZICIE!$B$41-12*('TCO TO BE- SW'!$D158-1))*((R$4+'TCO TO BE - HW'!R$4)/($E$4+'TCO TO BE - HW'!$E$4)*SUM(AKTIVITY_POZICIE!$M$41:$M$52)*1.2)/AKTIVITY_POZICIE!$B$41)),0)</f>
        <v>0</v>
      </c>
      <c r="S158" s="577">
        <f>IFERROR(IF((POZICIE_INTERNE!$B$40-12*('TCO TO BE- SW'!$D158-1))&gt;12,((S$4+'TCO TO BE - HW'!S$4)/($E$4+'TCO TO BE - HW'!$E$4)*SUM(POZICIE_INTERNE!$I$40:$I$51))/POZICIE_INTERNE!$B$40*12,IF((POZICIE_INTERNE!$B$40-12*('TCO TO BE- SW'!$D158-1))&lt;0,0,(POZICIE_INTERNE!$B$40-12*('TCO TO BE- SW'!$D158-1))*((S$4+'TCO TO BE - HW'!S$4)/($E$4+'TCO TO BE - HW'!$E$4)*SUM(POZICIE_INTERNE!$I$40:$I$51))/POZICIE_INTERNE!$B$40)),0)+IFERROR(IF((AKTIVITY_POZICIE!$B$41-12*('TCO TO BE- SW'!$D158-1))&gt;12,((S$4+'TCO TO BE - HW'!S$4)/($E$4+'TCO TO BE - HW'!$E$4)*SUM(AKTIVITY_POZICIE!$M$41:$M$52)*1.2)/AKTIVITY_POZICIE!$B$41*12,IF((AKTIVITY_POZICIE!$B$41-12*('TCO TO BE- SW'!$D158-1))&lt;0,0,(AKTIVITY_POZICIE!$B$41-12*('TCO TO BE- SW'!$D158-1))*((S$4+'TCO TO BE - HW'!S$4)/($E$4+'TCO TO BE - HW'!$E$4)*SUM(AKTIVITY_POZICIE!$M$41:$M$52)*1.2)/AKTIVITY_POZICIE!$B$41)),0)</f>
        <v>0</v>
      </c>
      <c r="T158" s="577">
        <f>IFERROR(IF((POZICIE_INTERNE!$B$40-12*('TCO TO BE- SW'!$D158-1))&gt;12,((T$4+'TCO TO BE - HW'!T$4)/($E$4+'TCO TO BE - HW'!$E$4)*SUM(POZICIE_INTERNE!$I$40:$I$51))/POZICIE_INTERNE!$B$40*12,IF((POZICIE_INTERNE!$B$40-12*('TCO TO BE- SW'!$D158-1))&lt;0,0,(POZICIE_INTERNE!$B$40-12*('TCO TO BE- SW'!$D158-1))*((T$4+'TCO TO BE - HW'!T$4)/($E$4+'TCO TO BE - HW'!$E$4)*SUM(POZICIE_INTERNE!$I$40:$I$51))/POZICIE_INTERNE!$B$40)),0)+IFERROR(IF((AKTIVITY_POZICIE!$B$41-12*('TCO TO BE- SW'!$D158-1))&gt;12,((T$4+'TCO TO BE - HW'!T$4)/($E$4+'TCO TO BE - HW'!$E$4)*SUM(AKTIVITY_POZICIE!$M$41:$M$52)*1.2)/AKTIVITY_POZICIE!$B$41*12,IF((AKTIVITY_POZICIE!$B$41-12*('TCO TO BE- SW'!$D158-1))&lt;0,0,(AKTIVITY_POZICIE!$B$41-12*('TCO TO BE- SW'!$D158-1))*((T$4+'TCO TO BE - HW'!T$4)/($E$4+'TCO TO BE - HW'!$E$4)*SUM(AKTIVITY_POZICIE!$M$41:$M$52)*1.2)/AKTIVITY_POZICIE!$B$41)),0)</f>
        <v>0</v>
      </c>
      <c r="U158" s="577">
        <f>IFERROR(IF((POZICIE_INTERNE!$B$40-12*('TCO TO BE- SW'!$D158-1))&gt;12,((U$4+'TCO TO BE - HW'!U$4)/($E$4+'TCO TO BE - HW'!$E$4)*SUM(POZICIE_INTERNE!$I$40:$I$51))/POZICIE_INTERNE!$B$40*12,IF((POZICIE_INTERNE!$B$40-12*('TCO TO BE- SW'!$D158-1))&lt;0,0,(POZICIE_INTERNE!$B$40-12*('TCO TO BE- SW'!$D158-1))*((U$4+'TCO TO BE - HW'!U$4)/($E$4+'TCO TO BE - HW'!$E$4)*SUM(POZICIE_INTERNE!$I$40:$I$51))/POZICIE_INTERNE!$B$40)),0)+IFERROR(IF((AKTIVITY_POZICIE!$B$41-12*('TCO TO BE- SW'!$D158-1))&gt;12,((U$4+'TCO TO BE - HW'!U$4)/($E$4+'TCO TO BE - HW'!$E$4)*SUM(AKTIVITY_POZICIE!$M$41:$M$52)*1.2)/AKTIVITY_POZICIE!$B$41*12,IF((AKTIVITY_POZICIE!$B$41-12*('TCO TO BE- SW'!$D158-1))&lt;0,0,(AKTIVITY_POZICIE!$B$41-12*('TCO TO BE- SW'!$D158-1))*((U$4+'TCO TO BE - HW'!U$4)/($E$4+'TCO TO BE - HW'!$E$4)*SUM(AKTIVITY_POZICIE!$M$41:$M$52)*1.2)/AKTIVITY_POZICIE!$B$41)),0)</f>
        <v>0</v>
      </c>
      <c r="V158" s="577">
        <f>IFERROR(IF((POZICIE_INTERNE!$B$40-12*('TCO TO BE- SW'!$D158-1))&gt;12,((V$4+'TCO TO BE - HW'!V$4)/($E$4+'TCO TO BE - HW'!$E$4)*SUM(POZICIE_INTERNE!$I$40:$I$51))/POZICIE_INTERNE!$B$40*12,IF((POZICIE_INTERNE!$B$40-12*('TCO TO BE- SW'!$D158-1))&lt;0,0,(POZICIE_INTERNE!$B$40-12*('TCO TO BE- SW'!$D158-1))*((V$4+'TCO TO BE - HW'!V$4)/($E$4+'TCO TO BE - HW'!$E$4)*SUM(POZICIE_INTERNE!$I$40:$I$51))/POZICIE_INTERNE!$B$40)),0)+IFERROR(IF((AKTIVITY_POZICIE!$B$41-12*('TCO TO BE- SW'!$D158-1))&gt;12,((V$4+'TCO TO BE - HW'!V$4)/($E$4+'TCO TO BE - HW'!$E$4)*SUM(AKTIVITY_POZICIE!$M$41:$M$52)*1.2)/AKTIVITY_POZICIE!$B$41*12,IF((AKTIVITY_POZICIE!$B$41-12*('TCO TO BE- SW'!$D158-1))&lt;0,0,(AKTIVITY_POZICIE!$B$41-12*('TCO TO BE- SW'!$D158-1))*((V$4+'TCO TO BE - HW'!V$4)/($E$4+'TCO TO BE - HW'!$E$4)*SUM(AKTIVITY_POZICIE!$M$41:$M$52)*1.2)/AKTIVITY_POZICIE!$B$41)),0)</f>
        <v>0</v>
      </c>
      <c r="W158" s="577">
        <f>IFERROR(IF((POZICIE_INTERNE!$B$40-12*('TCO TO BE- SW'!$D158-1))&gt;12,((W$4+'TCO TO BE - HW'!W$4)/($E$4+'TCO TO BE - HW'!$E$4)*SUM(POZICIE_INTERNE!$I$40:$I$51))/POZICIE_INTERNE!$B$40*12,IF((POZICIE_INTERNE!$B$40-12*('TCO TO BE- SW'!$D158-1))&lt;0,0,(POZICIE_INTERNE!$B$40-12*('TCO TO BE- SW'!$D158-1))*((W$4+'TCO TO BE - HW'!W$4)/($E$4+'TCO TO BE - HW'!$E$4)*SUM(POZICIE_INTERNE!$I$40:$I$51))/POZICIE_INTERNE!$B$40)),0)+IFERROR(IF((AKTIVITY_POZICIE!$B$41-12*('TCO TO BE- SW'!$D158-1))&gt;12,((W$4+'TCO TO BE - HW'!W$4)/($E$4+'TCO TO BE - HW'!$E$4)*SUM(AKTIVITY_POZICIE!$M$41:$M$52)*1.2)/AKTIVITY_POZICIE!$B$41*12,IF((AKTIVITY_POZICIE!$B$41-12*('TCO TO BE- SW'!$D158-1))&lt;0,0,(AKTIVITY_POZICIE!$B$41-12*('TCO TO BE- SW'!$D158-1))*((W$4+'TCO TO BE - HW'!W$4)/($E$4+'TCO TO BE - HW'!$E$4)*SUM(AKTIVITY_POZICIE!$M$41:$M$52)*1.2)/AKTIVITY_POZICIE!$B$41)),0)</f>
        <v>0</v>
      </c>
      <c r="X158" s="577">
        <f>IFERROR(IF((POZICIE_INTERNE!$B$40-12*('TCO TO BE- SW'!$D158-1))&gt;12,((X$4+'TCO TO BE - HW'!X$4)/($E$4+'TCO TO BE - HW'!$E$4)*SUM(POZICIE_INTERNE!$I$40:$I$51))/POZICIE_INTERNE!$B$40*12,IF((POZICIE_INTERNE!$B$40-12*('TCO TO BE- SW'!$D158-1))&lt;0,0,(POZICIE_INTERNE!$B$40-12*('TCO TO BE- SW'!$D158-1))*((X$4+'TCO TO BE - HW'!X$4)/($E$4+'TCO TO BE - HW'!$E$4)*SUM(POZICIE_INTERNE!$I$40:$I$51))/POZICIE_INTERNE!$B$40)),0)+IFERROR(IF((AKTIVITY_POZICIE!$B$41-12*('TCO TO BE- SW'!$D158-1))&gt;12,((X$4+'TCO TO BE - HW'!X$4)/($E$4+'TCO TO BE - HW'!$E$4)*SUM(AKTIVITY_POZICIE!$M$41:$M$52)*1.2)/AKTIVITY_POZICIE!$B$41*12,IF((AKTIVITY_POZICIE!$B$41-12*('TCO TO BE- SW'!$D158-1))&lt;0,0,(AKTIVITY_POZICIE!$B$41-12*('TCO TO BE- SW'!$D158-1))*((X$4+'TCO TO BE - HW'!X$4)/($E$4+'TCO TO BE - HW'!$E$4)*SUM(AKTIVITY_POZICIE!$M$41:$M$52)*1.2)/AKTIVITY_POZICIE!$B$41)),0)</f>
        <v>0</v>
      </c>
      <c r="Y158" s="577">
        <f>IFERROR(IF((POZICIE_INTERNE!$B$40-12*('TCO TO BE- SW'!$D158-1))&gt;12,((Y$4+'TCO TO BE - HW'!Y$4)/($E$4+'TCO TO BE - HW'!$E$4)*SUM(POZICIE_INTERNE!$I$40:$I$51))/POZICIE_INTERNE!$B$40*12,IF((POZICIE_INTERNE!$B$40-12*('TCO TO BE- SW'!$D158-1))&lt;0,0,(POZICIE_INTERNE!$B$40-12*('TCO TO BE- SW'!$D158-1))*((Y$4+'TCO TO BE - HW'!Y$4)/($E$4+'TCO TO BE - HW'!$E$4)*SUM(POZICIE_INTERNE!$I$40:$I$51))/POZICIE_INTERNE!$B$40)),0)+IFERROR(IF((AKTIVITY_POZICIE!$B$41-12*('TCO TO BE- SW'!$D158-1))&gt;12,((Y$4+'TCO TO BE - HW'!Y$4)/($E$4+'TCO TO BE - HW'!$E$4)*SUM(AKTIVITY_POZICIE!$M$41:$M$52)*1.2)/AKTIVITY_POZICIE!$B$41*12,IF((AKTIVITY_POZICIE!$B$41-12*('TCO TO BE- SW'!$D158-1))&lt;0,0,(AKTIVITY_POZICIE!$B$41-12*('TCO TO BE- SW'!$D158-1))*((Y$4+'TCO TO BE - HW'!Y$4)/($E$4+'TCO TO BE - HW'!$E$4)*SUM(AKTIVITY_POZICIE!$M$41:$M$52)*1.2)/AKTIVITY_POZICIE!$B$41)),0)</f>
        <v>0</v>
      </c>
      <c r="Z158" s="577">
        <f>IFERROR(IF((POZICIE_INTERNE!$B$40-12*('TCO TO BE- SW'!$D158-1))&gt;12,((Z$4+'TCO TO BE - HW'!Z$4)/($E$4+'TCO TO BE - HW'!$E$4)*SUM(POZICIE_INTERNE!$I$40:$I$51))/POZICIE_INTERNE!$B$40*12,IF((POZICIE_INTERNE!$B$40-12*('TCO TO BE- SW'!$D158-1))&lt;0,0,(POZICIE_INTERNE!$B$40-12*('TCO TO BE- SW'!$D158-1))*((Z$4+'TCO TO BE - HW'!Z$4)/($E$4+'TCO TO BE - HW'!$E$4)*SUM(POZICIE_INTERNE!$I$40:$I$51))/POZICIE_INTERNE!$B$40)),0)+IFERROR(IF((AKTIVITY_POZICIE!$B$41-12*('TCO TO BE- SW'!$D158-1))&gt;12,((Z$4+'TCO TO BE - HW'!Z$4)/($E$4+'TCO TO BE - HW'!$E$4)*SUM(AKTIVITY_POZICIE!$M$41:$M$52)*1.2)/AKTIVITY_POZICIE!$B$41*12,IF((AKTIVITY_POZICIE!$B$41-12*('TCO TO BE- SW'!$D158-1))&lt;0,0,(AKTIVITY_POZICIE!$B$41-12*('TCO TO BE- SW'!$D158-1))*((Z$4+'TCO TO BE - HW'!Z$4)/($E$4+'TCO TO BE - HW'!$E$4)*SUM(AKTIVITY_POZICIE!$M$41:$M$52)*1.2)/AKTIVITY_POZICIE!$B$41)),0)</f>
        <v>0</v>
      </c>
    </row>
    <row r="159" spans="1:26">
      <c r="A159" s="824"/>
      <c r="B159" s="825"/>
      <c r="C159" s="825"/>
      <c r="D159" s="64">
        <v>9</v>
      </c>
      <c r="E159" s="68">
        <f t="shared" si="16"/>
        <v>0</v>
      </c>
      <c r="F159" s="577">
        <f>IFERROR(IF((POZICIE_INTERNE!$B$40-12*('TCO TO BE- SW'!$D159-1))&gt;12,((F$4+'TCO TO BE - HW'!F$4)/($E$4+'TCO TO BE - HW'!$E$4)*SUM(POZICIE_INTERNE!$I$40:$I$51))/POZICIE_INTERNE!$B$40*12,IF((POZICIE_INTERNE!$B$40-12*('TCO TO BE- SW'!$D159-1))&lt;0,0,(POZICIE_INTERNE!$B$40-12*('TCO TO BE- SW'!$D159-1))*((F$4+'TCO TO BE - HW'!F$4)/($E$4+'TCO TO BE - HW'!$E$4)*SUM(POZICIE_INTERNE!$I$40:$I$51))/POZICIE_INTERNE!$B$40)),0)+IFERROR(IF((AKTIVITY_POZICIE!$B$41-12*('TCO TO BE- SW'!$D159-1))&gt;12,((F$4+'TCO TO BE - HW'!F$4)/($E$4+'TCO TO BE - HW'!$E$4)*SUM(AKTIVITY_POZICIE!$M$41:$M$52)*1.2)/AKTIVITY_POZICIE!$B$41*12,IF((AKTIVITY_POZICIE!$B$41-12*('TCO TO BE- SW'!$D159-1))&lt;0,0,(AKTIVITY_POZICIE!$B$41-12*('TCO TO BE- SW'!$D159-1))*((F$4+'TCO TO BE - HW'!F$4)/($E$4+'TCO TO BE - HW'!$E$4)*SUM(AKTIVITY_POZICIE!$M$41:$M$52)*1.2)/AKTIVITY_POZICIE!$B$41)),0)</f>
        <v>0</v>
      </c>
      <c r="G159" s="577">
        <f>IFERROR(IF((POZICIE_INTERNE!$B$40-12*('TCO TO BE- SW'!$D159-1))&gt;12,((G$4+'TCO TO BE - HW'!G$4)/($E$4+'TCO TO BE - HW'!$E$4)*SUM(POZICIE_INTERNE!$I$40:$I$51))/POZICIE_INTERNE!$B$40*12,IF((POZICIE_INTERNE!$B$40-12*('TCO TO BE- SW'!$D159-1))&lt;0,0,(POZICIE_INTERNE!$B$40-12*('TCO TO BE- SW'!$D159-1))*((G$4+'TCO TO BE - HW'!G$4)/($E$4+'TCO TO BE - HW'!$E$4)*SUM(POZICIE_INTERNE!$I$40:$I$51))/POZICIE_INTERNE!$B$40)),0)+IFERROR(IF((AKTIVITY_POZICIE!$B$41-12*('TCO TO BE- SW'!$D159-1))&gt;12,((G$4+'TCO TO BE - HW'!G$4)/($E$4+'TCO TO BE - HW'!$E$4)*SUM(AKTIVITY_POZICIE!$M$41:$M$52)*1.2)/AKTIVITY_POZICIE!$B$41*12,IF((AKTIVITY_POZICIE!$B$41-12*('TCO TO BE- SW'!$D159-1))&lt;0,0,(AKTIVITY_POZICIE!$B$41-12*('TCO TO BE- SW'!$D159-1))*((G$4+'TCO TO BE - HW'!G$4)/($E$4+'TCO TO BE - HW'!$E$4)*SUM(AKTIVITY_POZICIE!$M$41:$M$52)*1.2)/AKTIVITY_POZICIE!$B$41)),0)</f>
        <v>0</v>
      </c>
      <c r="H159" s="577">
        <f>IFERROR(IF((POZICIE_INTERNE!$B$40-12*('TCO TO BE- SW'!$D159-1))&gt;12,((H$4+'TCO TO BE - HW'!H$4)/($E$4+'TCO TO BE - HW'!$E$4)*SUM(POZICIE_INTERNE!$I$40:$I$51))/POZICIE_INTERNE!$B$40*12,IF((POZICIE_INTERNE!$B$40-12*('TCO TO BE- SW'!$D159-1))&lt;0,0,(POZICIE_INTERNE!$B$40-12*('TCO TO BE- SW'!$D159-1))*((H$4+'TCO TO BE - HW'!H$4)/($E$4+'TCO TO BE - HW'!$E$4)*SUM(POZICIE_INTERNE!$I$40:$I$51))/POZICIE_INTERNE!$B$40)),0)+IFERROR(IF((AKTIVITY_POZICIE!$B$41-12*('TCO TO BE- SW'!$D159-1))&gt;12,((H$4+'TCO TO BE - HW'!H$4)/($E$4+'TCO TO BE - HW'!$E$4)*SUM(AKTIVITY_POZICIE!$M$41:$M$52)*1.2)/AKTIVITY_POZICIE!$B$41*12,IF((AKTIVITY_POZICIE!$B$41-12*('TCO TO BE- SW'!$D159-1))&lt;0,0,(AKTIVITY_POZICIE!$B$41-12*('TCO TO BE- SW'!$D159-1))*((H$4+'TCO TO BE - HW'!H$4)/($E$4+'TCO TO BE - HW'!$E$4)*SUM(AKTIVITY_POZICIE!$M$41:$M$52)*1.2)/AKTIVITY_POZICIE!$B$41)),0)</f>
        <v>0</v>
      </c>
      <c r="I159" s="577">
        <f>IFERROR(IF((POZICIE_INTERNE!$B$40-12*('TCO TO BE- SW'!$D159-1))&gt;12,((I$4+'TCO TO BE - HW'!I$4)/($E$4+'TCO TO BE - HW'!$E$4)*SUM(POZICIE_INTERNE!$I$40:$I$51))/POZICIE_INTERNE!$B$40*12,IF((POZICIE_INTERNE!$B$40-12*('TCO TO BE- SW'!$D159-1))&lt;0,0,(POZICIE_INTERNE!$B$40-12*('TCO TO BE- SW'!$D159-1))*((I$4+'TCO TO BE - HW'!I$4)/($E$4+'TCO TO BE - HW'!$E$4)*SUM(POZICIE_INTERNE!$I$40:$I$51))/POZICIE_INTERNE!$B$40)),0)+IFERROR(IF((AKTIVITY_POZICIE!$B$41-12*('TCO TO BE- SW'!$D159-1))&gt;12,((I$4+'TCO TO BE - HW'!I$4)/($E$4+'TCO TO BE - HW'!$E$4)*SUM(AKTIVITY_POZICIE!$M$41:$M$52)*1.2)/AKTIVITY_POZICIE!$B$41*12,IF((AKTIVITY_POZICIE!$B$41-12*('TCO TO BE- SW'!$D159-1))&lt;0,0,(AKTIVITY_POZICIE!$B$41-12*('TCO TO BE- SW'!$D159-1))*((I$4+'TCO TO BE - HW'!I$4)/($E$4+'TCO TO BE - HW'!$E$4)*SUM(AKTIVITY_POZICIE!$M$41:$M$52)*1.2)/AKTIVITY_POZICIE!$B$41)),0)</f>
        <v>0</v>
      </c>
      <c r="J159" s="577">
        <f>IFERROR(IF((POZICIE_INTERNE!$B$40-12*('TCO TO BE- SW'!$D159-1))&gt;12,((J$4+'TCO TO BE - HW'!J$4)/($E$4+'TCO TO BE - HW'!$E$4)*SUM(POZICIE_INTERNE!$I$40:$I$51))/POZICIE_INTERNE!$B$40*12,IF((POZICIE_INTERNE!$B$40-12*('TCO TO BE- SW'!$D159-1))&lt;0,0,(POZICIE_INTERNE!$B$40-12*('TCO TO BE- SW'!$D159-1))*((J$4+'TCO TO BE - HW'!J$4)/($E$4+'TCO TO BE - HW'!$E$4)*SUM(POZICIE_INTERNE!$I$40:$I$51))/POZICIE_INTERNE!$B$40)),0)+IFERROR(IF((AKTIVITY_POZICIE!$B$41-12*('TCO TO BE- SW'!$D159-1))&gt;12,((J$4+'TCO TO BE - HW'!J$4)/($E$4+'TCO TO BE - HW'!$E$4)*SUM(AKTIVITY_POZICIE!$M$41:$M$52)*1.2)/AKTIVITY_POZICIE!$B$41*12,IF((AKTIVITY_POZICIE!$B$41-12*('TCO TO BE- SW'!$D159-1))&lt;0,0,(AKTIVITY_POZICIE!$B$41-12*('TCO TO BE- SW'!$D159-1))*((J$4+'TCO TO BE - HW'!J$4)/($E$4+'TCO TO BE - HW'!$E$4)*SUM(AKTIVITY_POZICIE!$M$41:$M$52)*1.2)/AKTIVITY_POZICIE!$B$41)),0)</f>
        <v>0</v>
      </c>
      <c r="K159" s="577">
        <f>IFERROR(IF((POZICIE_INTERNE!$B$40-12*('TCO TO BE- SW'!$D159-1))&gt;12,((K$4+'TCO TO BE - HW'!K$4)/($E$4+'TCO TO BE - HW'!$E$4)*SUM(POZICIE_INTERNE!$I$40:$I$51))/POZICIE_INTERNE!$B$40*12,IF((POZICIE_INTERNE!$B$40-12*('TCO TO BE- SW'!$D159-1))&lt;0,0,(POZICIE_INTERNE!$B$40-12*('TCO TO BE- SW'!$D159-1))*((K$4+'TCO TO BE - HW'!K$4)/($E$4+'TCO TO BE - HW'!$E$4)*SUM(POZICIE_INTERNE!$I$40:$I$51))/POZICIE_INTERNE!$B$40)),0)+IFERROR(IF((AKTIVITY_POZICIE!$B$41-12*('TCO TO BE- SW'!$D159-1))&gt;12,((K$4+'TCO TO BE - HW'!K$4)/($E$4+'TCO TO BE - HW'!$E$4)*SUM(AKTIVITY_POZICIE!$M$41:$M$52)*1.2)/AKTIVITY_POZICIE!$B$41*12,IF((AKTIVITY_POZICIE!$B$41-12*('TCO TO BE- SW'!$D159-1))&lt;0,0,(AKTIVITY_POZICIE!$B$41-12*('TCO TO BE- SW'!$D159-1))*((K$4+'TCO TO BE - HW'!K$4)/($E$4+'TCO TO BE - HW'!$E$4)*SUM(AKTIVITY_POZICIE!$M$41:$M$52)*1.2)/AKTIVITY_POZICIE!$B$41)),0)</f>
        <v>0</v>
      </c>
      <c r="L159" s="577">
        <f>IFERROR(IF((POZICIE_INTERNE!$B$40-12*('TCO TO BE- SW'!$D159-1))&gt;12,((L$4+'TCO TO BE - HW'!L$4)/($E$4+'TCO TO BE - HW'!$E$4)*SUM(POZICIE_INTERNE!$I$40:$I$51))/POZICIE_INTERNE!$B$40*12,IF((POZICIE_INTERNE!$B$40-12*('TCO TO BE- SW'!$D159-1))&lt;0,0,(POZICIE_INTERNE!$B$40-12*('TCO TO BE- SW'!$D159-1))*((L$4+'TCO TO BE - HW'!L$4)/($E$4+'TCO TO BE - HW'!$E$4)*SUM(POZICIE_INTERNE!$I$40:$I$51))/POZICIE_INTERNE!$B$40)),0)+IFERROR(IF((AKTIVITY_POZICIE!$B$41-12*('TCO TO BE- SW'!$D159-1))&gt;12,((L$4+'TCO TO BE - HW'!L$4)/($E$4+'TCO TO BE - HW'!$E$4)*SUM(AKTIVITY_POZICIE!$M$41:$M$52)*1.2)/AKTIVITY_POZICIE!$B$41*12,IF((AKTIVITY_POZICIE!$B$41-12*('TCO TO BE- SW'!$D159-1))&lt;0,0,(AKTIVITY_POZICIE!$B$41-12*('TCO TO BE- SW'!$D159-1))*((L$4+'TCO TO BE - HW'!L$4)/($E$4+'TCO TO BE - HW'!$E$4)*SUM(AKTIVITY_POZICIE!$M$41:$M$52)*1.2)/AKTIVITY_POZICIE!$B$41)),0)</f>
        <v>0</v>
      </c>
      <c r="M159" s="577">
        <f>IFERROR(IF((POZICIE_INTERNE!$B$40-12*('TCO TO BE- SW'!$D159-1))&gt;12,((M$4+'TCO TO BE - HW'!M$4)/($E$4+'TCO TO BE - HW'!$E$4)*SUM(POZICIE_INTERNE!$I$40:$I$51))/POZICIE_INTERNE!$B$40*12,IF((POZICIE_INTERNE!$B$40-12*('TCO TO BE- SW'!$D159-1))&lt;0,0,(POZICIE_INTERNE!$B$40-12*('TCO TO BE- SW'!$D159-1))*((M$4+'TCO TO BE - HW'!M$4)/($E$4+'TCO TO BE - HW'!$E$4)*SUM(POZICIE_INTERNE!$I$40:$I$51))/POZICIE_INTERNE!$B$40)),0)+IFERROR(IF((AKTIVITY_POZICIE!$B$41-12*('TCO TO BE- SW'!$D159-1))&gt;12,((M$4+'TCO TO BE - HW'!M$4)/($E$4+'TCO TO BE - HW'!$E$4)*SUM(AKTIVITY_POZICIE!$M$41:$M$52)*1.2)/AKTIVITY_POZICIE!$B$41*12,IF((AKTIVITY_POZICIE!$B$41-12*('TCO TO BE- SW'!$D159-1))&lt;0,0,(AKTIVITY_POZICIE!$B$41-12*('TCO TO BE- SW'!$D159-1))*((M$4+'TCO TO BE - HW'!M$4)/($E$4+'TCO TO BE - HW'!$E$4)*SUM(AKTIVITY_POZICIE!$M$41:$M$52)*1.2)/AKTIVITY_POZICIE!$B$41)),0)</f>
        <v>0</v>
      </c>
      <c r="N159" s="577">
        <f>IFERROR(IF((POZICIE_INTERNE!$B$40-12*('TCO TO BE- SW'!$D159-1))&gt;12,((N$4+'TCO TO BE - HW'!N$4)/($E$4+'TCO TO BE - HW'!$E$4)*SUM(POZICIE_INTERNE!$I$40:$I$51))/POZICIE_INTERNE!$B$40*12,IF((POZICIE_INTERNE!$B$40-12*('TCO TO BE- SW'!$D159-1))&lt;0,0,(POZICIE_INTERNE!$B$40-12*('TCO TO BE- SW'!$D159-1))*((N$4+'TCO TO BE - HW'!N$4)/($E$4+'TCO TO BE - HW'!$E$4)*SUM(POZICIE_INTERNE!$I$40:$I$51))/POZICIE_INTERNE!$B$40)),0)+IFERROR(IF((AKTIVITY_POZICIE!$B$41-12*('TCO TO BE- SW'!$D159-1))&gt;12,((N$4+'TCO TO BE - HW'!N$4)/($E$4+'TCO TO BE - HW'!$E$4)*SUM(AKTIVITY_POZICIE!$M$41:$M$52)*1.2)/AKTIVITY_POZICIE!$B$41*12,IF((AKTIVITY_POZICIE!$B$41-12*('TCO TO BE- SW'!$D159-1))&lt;0,0,(AKTIVITY_POZICIE!$B$41-12*('TCO TO BE- SW'!$D159-1))*((N$4+'TCO TO BE - HW'!N$4)/($E$4+'TCO TO BE - HW'!$E$4)*SUM(AKTIVITY_POZICIE!$M$41:$M$52)*1.2)/AKTIVITY_POZICIE!$B$41)),0)</f>
        <v>0</v>
      </c>
      <c r="O159" s="577">
        <f>IFERROR(IF((POZICIE_INTERNE!$B$40-12*('TCO TO BE- SW'!$D159-1))&gt;12,((O$4+'TCO TO BE - HW'!O$4)/($E$4+'TCO TO BE - HW'!$E$4)*SUM(POZICIE_INTERNE!$I$40:$I$51))/POZICIE_INTERNE!$B$40*12,IF((POZICIE_INTERNE!$B$40-12*('TCO TO BE- SW'!$D159-1))&lt;0,0,(POZICIE_INTERNE!$B$40-12*('TCO TO BE- SW'!$D159-1))*((O$4+'TCO TO BE - HW'!O$4)/($E$4+'TCO TO BE - HW'!$E$4)*SUM(POZICIE_INTERNE!$I$40:$I$51))/POZICIE_INTERNE!$B$40)),0)+IFERROR(IF((AKTIVITY_POZICIE!$B$41-12*('TCO TO BE- SW'!$D159-1))&gt;12,((O$4+'TCO TO BE - HW'!O$4)/($E$4+'TCO TO BE - HW'!$E$4)*SUM(AKTIVITY_POZICIE!$M$41:$M$52)*1.2)/AKTIVITY_POZICIE!$B$41*12,IF((AKTIVITY_POZICIE!$B$41-12*('TCO TO BE- SW'!$D159-1))&lt;0,0,(AKTIVITY_POZICIE!$B$41-12*('TCO TO BE- SW'!$D159-1))*((O$4+'TCO TO BE - HW'!O$4)/($E$4+'TCO TO BE - HW'!$E$4)*SUM(AKTIVITY_POZICIE!$M$41:$M$52)*1.2)/AKTIVITY_POZICIE!$B$41)),0)</f>
        <v>0</v>
      </c>
      <c r="P159" s="577">
        <f>IFERROR(IF((POZICIE_INTERNE!$B$40-12*('TCO TO BE- SW'!$D159-1))&gt;12,((P$4+'TCO TO BE - HW'!P$4)/($E$4+'TCO TO BE - HW'!$E$4)*SUM(POZICIE_INTERNE!$I$40:$I$51))/POZICIE_INTERNE!$B$40*12,IF((POZICIE_INTERNE!$B$40-12*('TCO TO BE- SW'!$D159-1))&lt;0,0,(POZICIE_INTERNE!$B$40-12*('TCO TO BE- SW'!$D159-1))*((P$4+'TCO TO BE - HW'!P$4)/($E$4+'TCO TO BE - HW'!$E$4)*SUM(POZICIE_INTERNE!$I$40:$I$51))/POZICIE_INTERNE!$B$40)),0)+IFERROR(IF((AKTIVITY_POZICIE!$B$41-12*('TCO TO BE- SW'!$D159-1))&gt;12,((P$4+'TCO TO BE - HW'!P$4)/($E$4+'TCO TO BE - HW'!$E$4)*SUM(AKTIVITY_POZICIE!$M$41:$M$52)*1.2)/AKTIVITY_POZICIE!$B$41*12,IF((AKTIVITY_POZICIE!$B$41-12*('TCO TO BE- SW'!$D159-1))&lt;0,0,(AKTIVITY_POZICIE!$B$41-12*('TCO TO BE- SW'!$D159-1))*((P$4+'TCO TO BE - HW'!P$4)/($E$4+'TCO TO BE - HW'!$E$4)*SUM(AKTIVITY_POZICIE!$M$41:$M$52)*1.2)/AKTIVITY_POZICIE!$B$41)),0)</f>
        <v>0</v>
      </c>
      <c r="Q159" s="577">
        <f>IFERROR(IF((POZICIE_INTERNE!$B$40-12*('TCO TO BE- SW'!$D159-1))&gt;12,((Q$4+'TCO TO BE - HW'!Q$4)/($E$4+'TCO TO BE - HW'!$E$4)*SUM(POZICIE_INTERNE!$I$40:$I$51))/POZICIE_INTERNE!$B$40*12,IF((POZICIE_INTERNE!$B$40-12*('TCO TO BE- SW'!$D159-1))&lt;0,0,(POZICIE_INTERNE!$B$40-12*('TCO TO BE- SW'!$D159-1))*((Q$4+'TCO TO BE - HW'!Q$4)/($E$4+'TCO TO BE - HW'!$E$4)*SUM(POZICIE_INTERNE!$I$40:$I$51))/POZICIE_INTERNE!$B$40)),0)+IFERROR(IF((AKTIVITY_POZICIE!$B$41-12*('TCO TO BE- SW'!$D159-1))&gt;12,((Q$4+'TCO TO BE - HW'!Q$4)/($E$4+'TCO TO BE - HW'!$E$4)*SUM(AKTIVITY_POZICIE!$M$41:$M$52)*1.2)/AKTIVITY_POZICIE!$B$41*12,IF((AKTIVITY_POZICIE!$B$41-12*('TCO TO BE- SW'!$D159-1))&lt;0,0,(AKTIVITY_POZICIE!$B$41-12*('TCO TO BE- SW'!$D159-1))*((Q$4+'TCO TO BE - HW'!Q$4)/($E$4+'TCO TO BE - HW'!$E$4)*SUM(AKTIVITY_POZICIE!$M$41:$M$52)*1.2)/AKTIVITY_POZICIE!$B$41)),0)</f>
        <v>0</v>
      </c>
      <c r="R159" s="577">
        <f>IFERROR(IF((POZICIE_INTERNE!$B$40-12*('TCO TO BE- SW'!$D159-1))&gt;12,((R$4+'TCO TO BE - HW'!R$4)/($E$4+'TCO TO BE - HW'!$E$4)*SUM(POZICIE_INTERNE!$I$40:$I$51))/POZICIE_INTERNE!$B$40*12,IF((POZICIE_INTERNE!$B$40-12*('TCO TO BE- SW'!$D159-1))&lt;0,0,(POZICIE_INTERNE!$B$40-12*('TCO TO BE- SW'!$D159-1))*((R$4+'TCO TO BE - HW'!R$4)/($E$4+'TCO TO BE - HW'!$E$4)*SUM(POZICIE_INTERNE!$I$40:$I$51))/POZICIE_INTERNE!$B$40)),0)+IFERROR(IF((AKTIVITY_POZICIE!$B$41-12*('TCO TO BE- SW'!$D159-1))&gt;12,((R$4+'TCO TO BE - HW'!R$4)/($E$4+'TCO TO BE - HW'!$E$4)*SUM(AKTIVITY_POZICIE!$M$41:$M$52)*1.2)/AKTIVITY_POZICIE!$B$41*12,IF((AKTIVITY_POZICIE!$B$41-12*('TCO TO BE- SW'!$D159-1))&lt;0,0,(AKTIVITY_POZICIE!$B$41-12*('TCO TO BE- SW'!$D159-1))*((R$4+'TCO TO BE - HW'!R$4)/($E$4+'TCO TO BE - HW'!$E$4)*SUM(AKTIVITY_POZICIE!$M$41:$M$52)*1.2)/AKTIVITY_POZICIE!$B$41)),0)</f>
        <v>0</v>
      </c>
      <c r="S159" s="577">
        <f>IFERROR(IF((POZICIE_INTERNE!$B$40-12*('TCO TO BE- SW'!$D159-1))&gt;12,((S$4+'TCO TO BE - HW'!S$4)/($E$4+'TCO TO BE - HW'!$E$4)*SUM(POZICIE_INTERNE!$I$40:$I$51))/POZICIE_INTERNE!$B$40*12,IF((POZICIE_INTERNE!$B$40-12*('TCO TO BE- SW'!$D159-1))&lt;0,0,(POZICIE_INTERNE!$B$40-12*('TCO TO BE- SW'!$D159-1))*((S$4+'TCO TO BE - HW'!S$4)/($E$4+'TCO TO BE - HW'!$E$4)*SUM(POZICIE_INTERNE!$I$40:$I$51))/POZICIE_INTERNE!$B$40)),0)+IFERROR(IF((AKTIVITY_POZICIE!$B$41-12*('TCO TO BE- SW'!$D159-1))&gt;12,((S$4+'TCO TO BE - HW'!S$4)/($E$4+'TCO TO BE - HW'!$E$4)*SUM(AKTIVITY_POZICIE!$M$41:$M$52)*1.2)/AKTIVITY_POZICIE!$B$41*12,IF((AKTIVITY_POZICIE!$B$41-12*('TCO TO BE- SW'!$D159-1))&lt;0,0,(AKTIVITY_POZICIE!$B$41-12*('TCO TO BE- SW'!$D159-1))*((S$4+'TCO TO BE - HW'!S$4)/($E$4+'TCO TO BE - HW'!$E$4)*SUM(AKTIVITY_POZICIE!$M$41:$M$52)*1.2)/AKTIVITY_POZICIE!$B$41)),0)</f>
        <v>0</v>
      </c>
      <c r="T159" s="577">
        <f>IFERROR(IF((POZICIE_INTERNE!$B$40-12*('TCO TO BE- SW'!$D159-1))&gt;12,((T$4+'TCO TO BE - HW'!T$4)/($E$4+'TCO TO BE - HW'!$E$4)*SUM(POZICIE_INTERNE!$I$40:$I$51))/POZICIE_INTERNE!$B$40*12,IF((POZICIE_INTERNE!$B$40-12*('TCO TO BE- SW'!$D159-1))&lt;0,0,(POZICIE_INTERNE!$B$40-12*('TCO TO BE- SW'!$D159-1))*((T$4+'TCO TO BE - HW'!T$4)/($E$4+'TCO TO BE - HW'!$E$4)*SUM(POZICIE_INTERNE!$I$40:$I$51))/POZICIE_INTERNE!$B$40)),0)+IFERROR(IF((AKTIVITY_POZICIE!$B$41-12*('TCO TO BE- SW'!$D159-1))&gt;12,((T$4+'TCO TO BE - HW'!T$4)/($E$4+'TCO TO BE - HW'!$E$4)*SUM(AKTIVITY_POZICIE!$M$41:$M$52)*1.2)/AKTIVITY_POZICIE!$B$41*12,IF((AKTIVITY_POZICIE!$B$41-12*('TCO TO BE- SW'!$D159-1))&lt;0,0,(AKTIVITY_POZICIE!$B$41-12*('TCO TO BE- SW'!$D159-1))*((T$4+'TCO TO BE - HW'!T$4)/($E$4+'TCO TO BE - HW'!$E$4)*SUM(AKTIVITY_POZICIE!$M$41:$M$52)*1.2)/AKTIVITY_POZICIE!$B$41)),0)</f>
        <v>0</v>
      </c>
      <c r="U159" s="577">
        <f>IFERROR(IF((POZICIE_INTERNE!$B$40-12*('TCO TO BE- SW'!$D159-1))&gt;12,((U$4+'TCO TO BE - HW'!U$4)/($E$4+'TCO TO BE - HW'!$E$4)*SUM(POZICIE_INTERNE!$I$40:$I$51))/POZICIE_INTERNE!$B$40*12,IF((POZICIE_INTERNE!$B$40-12*('TCO TO BE- SW'!$D159-1))&lt;0,0,(POZICIE_INTERNE!$B$40-12*('TCO TO BE- SW'!$D159-1))*((U$4+'TCO TO BE - HW'!U$4)/($E$4+'TCO TO BE - HW'!$E$4)*SUM(POZICIE_INTERNE!$I$40:$I$51))/POZICIE_INTERNE!$B$40)),0)+IFERROR(IF((AKTIVITY_POZICIE!$B$41-12*('TCO TO BE- SW'!$D159-1))&gt;12,((U$4+'TCO TO BE - HW'!U$4)/($E$4+'TCO TO BE - HW'!$E$4)*SUM(AKTIVITY_POZICIE!$M$41:$M$52)*1.2)/AKTIVITY_POZICIE!$B$41*12,IF((AKTIVITY_POZICIE!$B$41-12*('TCO TO BE- SW'!$D159-1))&lt;0,0,(AKTIVITY_POZICIE!$B$41-12*('TCO TO BE- SW'!$D159-1))*((U$4+'TCO TO BE - HW'!U$4)/($E$4+'TCO TO BE - HW'!$E$4)*SUM(AKTIVITY_POZICIE!$M$41:$M$52)*1.2)/AKTIVITY_POZICIE!$B$41)),0)</f>
        <v>0</v>
      </c>
      <c r="V159" s="577">
        <f>IFERROR(IF((POZICIE_INTERNE!$B$40-12*('TCO TO BE- SW'!$D159-1))&gt;12,((V$4+'TCO TO BE - HW'!V$4)/($E$4+'TCO TO BE - HW'!$E$4)*SUM(POZICIE_INTERNE!$I$40:$I$51))/POZICIE_INTERNE!$B$40*12,IF((POZICIE_INTERNE!$B$40-12*('TCO TO BE- SW'!$D159-1))&lt;0,0,(POZICIE_INTERNE!$B$40-12*('TCO TO BE- SW'!$D159-1))*((V$4+'TCO TO BE - HW'!V$4)/($E$4+'TCO TO BE - HW'!$E$4)*SUM(POZICIE_INTERNE!$I$40:$I$51))/POZICIE_INTERNE!$B$40)),0)+IFERROR(IF((AKTIVITY_POZICIE!$B$41-12*('TCO TO BE- SW'!$D159-1))&gt;12,((V$4+'TCO TO BE - HW'!V$4)/($E$4+'TCO TO BE - HW'!$E$4)*SUM(AKTIVITY_POZICIE!$M$41:$M$52)*1.2)/AKTIVITY_POZICIE!$B$41*12,IF((AKTIVITY_POZICIE!$B$41-12*('TCO TO BE- SW'!$D159-1))&lt;0,0,(AKTIVITY_POZICIE!$B$41-12*('TCO TO BE- SW'!$D159-1))*((V$4+'TCO TO BE - HW'!V$4)/($E$4+'TCO TO BE - HW'!$E$4)*SUM(AKTIVITY_POZICIE!$M$41:$M$52)*1.2)/AKTIVITY_POZICIE!$B$41)),0)</f>
        <v>0</v>
      </c>
      <c r="W159" s="577">
        <f>IFERROR(IF((POZICIE_INTERNE!$B$40-12*('TCO TO BE- SW'!$D159-1))&gt;12,((W$4+'TCO TO BE - HW'!W$4)/($E$4+'TCO TO BE - HW'!$E$4)*SUM(POZICIE_INTERNE!$I$40:$I$51))/POZICIE_INTERNE!$B$40*12,IF((POZICIE_INTERNE!$B$40-12*('TCO TO BE- SW'!$D159-1))&lt;0,0,(POZICIE_INTERNE!$B$40-12*('TCO TO BE- SW'!$D159-1))*((W$4+'TCO TO BE - HW'!W$4)/($E$4+'TCO TO BE - HW'!$E$4)*SUM(POZICIE_INTERNE!$I$40:$I$51))/POZICIE_INTERNE!$B$40)),0)+IFERROR(IF((AKTIVITY_POZICIE!$B$41-12*('TCO TO BE- SW'!$D159-1))&gt;12,((W$4+'TCO TO BE - HW'!W$4)/($E$4+'TCO TO BE - HW'!$E$4)*SUM(AKTIVITY_POZICIE!$M$41:$M$52)*1.2)/AKTIVITY_POZICIE!$B$41*12,IF((AKTIVITY_POZICIE!$B$41-12*('TCO TO BE- SW'!$D159-1))&lt;0,0,(AKTIVITY_POZICIE!$B$41-12*('TCO TO BE- SW'!$D159-1))*((W$4+'TCO TO BE - HW'!W$4)/($E$4+'TCO TO BE - HW'!$E$4)*SUM(AKTIVITY_POZICIE!$M$41:$M$52)*1.2)/AKTIVITY_POZICIE!$B$41)),0)</f>
        <v>0</v>
      </c>
      <c r="X159" s="577">
        <f>IFERROR(IF((POZICIE_INTERNE!$B$40-12*('TCO TO BE- SW'!$D159-1))&gt;12,((X$4+'TCO TO BE - HW'!X$4)/($E$4+'TCO TO BE - HW'!$E$4)*SUM(POZICIE_INTERNE!$I$40:$I$51))/POZICIE_INTERNE!$B$40*12,IF((POZICIE_INTERNE!$B$40-12*('TCO TO BE- SW'!$D159-1))&lt;0,0,(POZICIE_INTERNE!$B$40-12*('TCO TO BE- SW'!$D159-1))*((X$4+'TCO TO BE - HW'!X$4)/($E$4+'TCO TO BE - HW'!$E$4)*SUM(POZICIE_INTERNE!$I$40:$I$51))/POZICIE_INTERNE!$B$40)),0)+IFERROR(IF((AKTIVITY_POZICIE!$B$41-12*('TCO TO BE- SW'!$D159-1))&gt;12,((X$4+'TCO TO BE - HW'!X$4)/($E$4+'TCO TO BE - HW'!$E$4)*SUM(AKTIVITY_POZICIE!$M$41:$M$52)*1.2)/AKTIVITY_POZICIE!$B$41*12,IF((AKTIVITY_POZICIE!$B$41-12*('TCO TO BE- SW'!$D159-1))&lt;0,0,(AKTIVITY_POZICIE!$B$41-12*('TCO TO BE- SW'!$D159-1))*((X$4+'TCO TO BE - HW'!X$4)/($E$4+'TCO TO BE - HW'!$E$4)*SUM(AKTIVITY_POZICIE!$M$41:$M$52)*1.2)/AKTIVITY_POZICIE!$B$41)),0)</f>
        <v>0</v>
      </c>
      <c r="Y159" s="577">
        <f>IFERROR(IF((POZICIE_INTERNE!$B$40-12*('TCO TO BE- SW'!$D159-1))&gt;12,((Y$4+'TCO TO BE - HW'!Y$4)/($E$4+'TCO TO BE - HW'!$E$4)*SUM(POZICIE_INTERNE!$I$40:$I$51))/POZICIE_INTERNE!$B$40*12,IF((POZICIE_INTERNE!$B$40-12*('TCO TO BE- SW'!$D159-1))&lt;0,0,(POZICIE_INTERNE!$B$40-12*('TCO TO BE- SW'!$D159-1))*((Y$4+'TCO TO BE - HW'!Y$4)/($E$4+'TCO TO BE - HW'!$E$4)*SUM(POZICIE_INTERNE!$I$40:$I$51))/POZICIE_INTERNE!$B$40)),0)+IFERROR(IF((AKTIVITY_POZICIE!$B$41-12*('TCO TO BE- SW'!$D159-1))&gt;12,((Y$4+'TCO TO BE - HW'!Y$4)/($E$4+'TCO TO BE - HW'!$E$4)*SUM(AKTIVITY_POZICIE!$M$41:$M$52)*1.2)/AKTIVITY_POZICIE!$B$41*12,IF((AKTIVITY_POZICIE!$B$41-12*('TCO TO BE- SW'!$D159-1))&lt;0,0,(AKTIVITY_POZICIE!$B$41-12*('TCO TO BE- SW'!$D159-1))*((Y$4+'TCO TO BE - HW'!Y$4)/($E$4+'TCO TO BE - HW'!$E$4)*SUM(AKTIVITY_POZICIE!$M$41:$M$52)*1.2)/AKTIVITY_POZICIE!$B$41)),0)</f>
        <v>0</v>
      </c>
      <c r="Z159" s="577">
        <f>IFERROR(IF((POZICIE_INTERNE!$B$40-12*('TCO TO BE- SW'!$D159-1))&gt;12,((Z$4+'TCO TO BE - HW'!Z$4)/($E$4+'TCO TO BE - HW'!$E$4)*SUM(POZICIE_INTERNE!$I$40:$I$51))/POZICIE_INTERNE!$B$40*12,IF((POZICIE_INTERNE!$B$40-12*('TCO TO BE- SW'!$D159-1))&lt;0,0,(POZICIE_INTERNE!$B$40-12*('TCO TO BE- SW'!$D159-1))*((Z$4+'TCO TO BE - HW'!Z$4)/($E$4+'TCO TO BE - HW'!$E$4)*SUM(POZICIE_INTERNE!$I$40:$I$51))/POZICIE_INTERNE!$B$40)),0)+IFERROR(IF((AKTIVITY_POZICIE!$B$41-12*('TCO TO BE- SW'!$D159-1))&gt;12,((Z$4+'TCO TO BE - HW'!Z$4)/($E$4+'TCO TO BE - HW'!$E$4)*SUM(AKTIVITY_POZICIE!$M$41:$M$52)*1.2)/AKTIVITY_POZICIE!$B$41*12,IF((AKTIVITY_POZICIE!$B$41-12*('TCO TO BE- SW'!$D159-1))&lt;0,0,(AKTIVITY_POZICIE!$B$41-12*('TCO TO BE- SW'!$D159-1))*((Z$4+'TCO TO BE - HW'!Z$4)/($E$4+'TCO TO BE - HW'!$E$4)*SUM(AKTIVITY_POZICIE!$M$41:$M$52)*1.2)/AKTIVITY_POZICIE!$B$41)),0)</f>
        <v>0</v>
      </c>
    </row>
    <row r="160" spans="1:26" ht="15.75" thickBot="1">
      <c r="A160" s="824"/>
      <c r="B160" s="825"/>
      <c r="C160" s="825"/>
      <c r="D160" s="65">
        <v>10</v>
      </c>
      <c r="E160" s="69">
        <f t="shared" si="16"/>
        <v>0</v>
      </c>
      <c r="F160" s="577">
        <f>IFERROR(IF((POZICIE_INTERNE!$B$40-12*('TCO TO BE- SW'!$D160-1))&gt;12,((F$4+'TCO TO BE - HW'!F$4)/($E$4+'TCO TO BE - HW'!$E$4)*SUM(POZICIE_INTERNE!$I$40:$I$51))/POZICIE_INTERNE!$B$40*12,IF((POZICIE_INTERNE!$B$40-12*('TCO TO BE- SW'!$D160-1))&lt;0,0,(POZICIE_INTERNE!$B$40-12*('TCO TO BE- SW'!$D160-1))*((F$4+'TCO TO BE - HW'!F$4)/($E$4+'TCO TO BE - HW'!$E$4)*SUM(POZICIE_INTERNE!$I$40:$I$51))/POZICIE_INTERNE!$B$40)),0)+IFERROR(IF((AKTIVITY_POZICIE!$B$41-12*('TCO TO BE- SW'!$D160-1))&gt;12,((F$4+'TCO TO BE - HW'!F$4)/($E$4+'TCO TO BE - HW'!$E$4)*SUM(AKTIVITY_POZICIE!$M$41:$M$52)*1.2)/AKTIVITY_POZICIE!$B$41*12,IF((AKTIVITY_POZICIE!$B$41-12*('TCO TO BE- SW'!$D160-1))&lt;0,0,(AKTIVITY_POZICIE!$B$41-12*('TCO TO BE- SW'!$D160-1))*((F$4+'TCO TO BE - HW'!F$4)/($E$4+'TCO TO BE - HW'!$E$4)*SUM(AKTIVITY_POZICIE!$M$41:$M$52)*1.2)/AKTIVITY_POZICIE!$B$41)),0)</f>
        <v>0</v>
      </c>
      <c r="G160" s="577">
        <f>IFERROR(IF((POZICIE_INTERNE!$B$40-12*('TCO TO BE- SW'!$D160-1))&gt;12,((G$4+'TCO TO BE - HW'!G$4)/($E$4+'TCO TO BE - HW'!$E$4)*SUM(POZICIE_INTERNE!$I$40:$I$51))/POZICIE_INTERNE!$B$40*12,IF((POZICIE_INTERNE!$B$40-12*('TCO TO BE- SW'!$D160-1))&lt;0,0,(POZICIE_INTERNE!$B$40-12*('TCO TO BE- SW'!$D160-1))*((G$4+'TCO TO BE - HW'!G$4)/($E$4+'TCO TO BE - HW'!$E$4)*SUM(POZICIE_INTERNE!$I$40:$I$51))/POZICIE_INTERNE!$B$40)),0)+IFERROR(IF((AKTIVITY_POZICIE!$B$41-12*('TCO TO BE- SW'!$D160-1))&gt;12,((G$4+'TCO TO BE - HW'!G$4)/($E$4+'TCO TO BE - HW'!$E$4)*SUM(AKTIVITY_POZICIE!$M$41:$M$52)*1.2)/AKTIVITY_POZICIE!$B$41*12,IF((AKTIVITY_POZICIE!$B$41-12*('TCO TO BE- SW'!$D160-1))&lt;0,0,(AKTIVITY_POZICIE!$B$41-12*('TCO TO BE- SW'!$D160-1))*((G$4+'TCO TO BE - HW'!G$4)/($E$4+'TCO TO BE - HW'!$E$4)*SUM(AKTIVITY_POZICIE!$M$41:$M$52)*1.2)/AKTIVITY_POZICIE!$B$41)),0)</f>
        <v>0</v>
      </c>
      <c r="H160" s="577">
        <f>IFERROR(IF((POZICIE_INTERNE!$B$40-12*('TCO TO BE- SW'!$D160-1))&gt;12,((H$4+'TCO TO BE - HW'!H$4)/($E$4+'TCO TO BE - HW'!$E$4)*SUM(POZICIE_INTERNE!$I$40:$I$51))/POZICIE_INTERNE!$B$40*12,IF((POZICIE_INTERNE!$B$40-12*('TCO TO BE- SW'!$D160-1))&lt;0,0,(POZICIE_INTERNE!$B$40-12*('TCO TO BE- SW'!$D160-1))*((H$4+'TCO TO BE - HW'!H$4)/($E$4+'TCO TO BE - HW'!$E$4)*SUM(POZICIE_INTERNE!$I$40:$I$51))/POZICIE_INTERNE!$B$40)),0)+IFERROR(IF((AKTIVITY_POZICIE!$B$41-12*('TCO TO BE- SW'!$D160-1))&gt;12,((H$4+'TCO TO BE - HW'!H$4)/($E$4+'TCO TO BE - HW'!$E$4)*SUM(AKTIVITY_POZICIE!$M$41:$M$52)*1.2)/AKTIVITY_POZICIE!$B$41*12,IF((AKTIVITY_POZICIE!$B$41-12*('TCO TO BE- SW'!$D160-1))&lt;0,0,(AKTIVITY_POZICIE!$B$41-12*('TCO TO BE- SW'!$D160-1))*((H$4+'TCO TO BE - HW'!H$4)/($E$4+'TCO TO BE - HW'!$E$4)*SUM(AKTIVITY_POZICIE!$M$41:$M$52)*1.2)/AKTIVITY_POZICIE!$B$41)),0)</f>
        <v>0</v>
      </c>
      <c r="I160" s="577">
        <f>IFERROR(IF((POZICIE_INTERNE!$B$40-12*('TCO TO BE- SW'!$D160-1))&gt;12,((I$4+'TCO TO BE - HW'!I$4)/($E$4+'TCO TO BE - HW'!$E$4)*SUM(POZICIE_INTERNE!$I$40:$I$51))/POZICIE_INTERNE!$B$40*12,IF((POZICIE_INTERNE!$B$40-12*('TCO TO BE- SW'!$D160-1))&lt;0,0,(POZICIE_INTERNE!$B$40-12*('TCO TO BE- SW'!$D160-1))*((I$4+'TCO TO BE - HW'!I$4)/($E$4+'TCO TO BE - HW'!$E$4)*SUM(POZICIE_INTERNE!$I$40:$I$51))/POZICIE_INTERNE!$B$40)),0)+IFERROR(IF((AKTIVITY_POZICIE!$B$41-12*('TCO TO BE- SW'!$D160-1))&gt;12,((I$4+'TCO TO BE - HW'!I$4)/($E$4+'TCO TO BE - HW'!$E$4)*SUM(AKTIVITY_POZICIE!$M$41:$M$52)*1.2)/AKTIVITY_POZICIE!$B$41*12,IF((AKTIVITY_POZICIE!$B$41-12*('TCO TO BE- SW'!$D160-1))&lt;0,0,(AKTIVITY_POZICIE!$B$41-12*('TCO TO BE- SW'!$D160-1))*((I$4+'TCO TO BE - HW'!I$4)/($E$4+'TCO TO BE - HW'!$E$4)*SUM(AKTIVITY_POZICIE!$M$41:$M$52)*1.2)/AKTIVITY_POZICIE!$B$41)),0)</f>
        <v>0</v>
      </c>
      <c r="J160" s="577">
        <f>IFERROR(IF((POZICIE_INTERNE!$B$40-12*('TCO TO BE- SW'!$D160-1))&gt;12,((J$4+'TCO TO BE - HW'!J$4)/($E$4+'TCO TO BE - HW'!$E$4)*SUM(POZICIE_INTERNE!$I$40:$I$51))/POZICIE_INTERNE!$B$40*12,IF((POZICIE_INTERNE!$B$40-12*('TCO TO BE- SW'!$D160-1))&lt;0,0,(POZICIE_INTERNE!$B$40-12*('TCO TO BE- SW'!$D160-1))*((J$4+'TCO TO BE - HW'!J$4)/($E$4+'TCO TO BE - HW'!$E$4)*SUM(POZICIE_INTERNE!$I$40:$I$51))/POZICIE_INTERNE!$B$40)),0)+IFERROR(IF((AKTIVITY_POZICIE!$B$41-12*('TCO TO BE- SW'!$D160-1))&gt;12,((J$4+'TCO TO BE - HW'!J$4)/($E$4+'TCO TO BE - HW'!$E$4)*SUM(AKTIVITY_POZICIE!$M$41:$M$52)*1.2)/AKTIVITY_POZICIE!$B$41*12,IF((AKTIVITY_POZICIE!$B$41-12*('TCO TO BE- SW'!$D160-1))&lt;0,0,(AKTIVITY_POZICIE!$B$41-12*('TCO TO BE- SW'!$D160-1))*((J$4+'TCO TO BE - HW'!J$4)/($E$4+'TCO TO BE - HW'!$E$4)*SUM(AKTIVITY_POZICIE!$M$41:$M$52)*1.2)/AKTIVITY_POZICIE!$B$41)),0)</f>
        <v>0</v>
      </c>
      <c r="K160" s="577">
        <f>IFERROR(IF((POZICIE_INTERNE!$B$40-12*('TCO TO BE- SW'!$D160-1))&gt;12,((K$4+'TCO TO BE - HW'!K$4)/($E$4+'TCO TO BE - HW'!$E$4)*SUM(POZICIE_INTERNE!$I$40:$I$51))/POZICIE_INTERNE!$B$40*12,IF((POZICIE_INTERNE!$B$40-12*('TCO TO BE- SW'!$D160-1))&lt;0,0,(POZICIE_INTERNE!$B$40-12*('TCO TO BE- SW'!$D160-1))*((K$4+'TCO TO BE - HW'!K$4)/($E$4+'TCO TO BE - HW'!$E$4)*SUM(POZICIE_INTERNE!$I$40:$I$51))/POZICIE_INTERNE!$B$40)),0)+IFERROR(IF((AKTIVITY_POZICIE!$B$41-12*('TCO TO BE- SW'!$D160-1))&gt;12,((K$4+'TCO TO BE - HW'!K$4)/($E$4+'TCO TO BE - HW'!$E$4)*SUM(AKTIVITY_POZICIE!$M$41:$M$52)*1.2)/AKTIVITY_POZICIE!$B$41*12,IF((AKTIVITY_POZICIE!$B$41-12*('TCO TO BE- SW'!$D160-1))&lt;0,0,(AKTIVITY_POZICIE!$B$41-12*('TCO TO BE- SW'!$D160-1))*((K$4+'TCO TO BE - HW'!K$4)/($E$4+'TCO TO BE - HW'!$E$4)*SUM(AKTIVITY_POZICIE!$M$41:$M$52)*1.2)/AKTIVITY_POZICIE!$B$41)),0)</f>
        <v>0</v>
      </c>
      <c r="L160" s="577">
        <f>IFERROR(IF((POZICIE_INTERNE!$B$40-12*('TCO TO BE- SW'!$D160-1))&gt;12,((L$4+'TCO TO BE - HW'!L$4)/($E$4+'TCO TO BE - HW'!$E$4)*SUM(POZICIE_INTERNE!$I$40:$I$51))/POZICIE_INTERNE!$B$40*12,IF((POZICIE_INTERNE!$B$40-12*('TCO TO BE- SW'!$D160-1))&lt;0,0,(POZICIE_INTERNE!$B$40-12*('TCO TO BE- SW'!$D160-1))*((L$4+'TCO TO BE - HW'!L$4)/($E$4+'TCO TO BE - HW'!$E$4)*SUM(POZICIE_INTERNE!$I$40:$I$51))/POZICIE_INTERNE!$B$40)),0)+IFERROR(IF((AKTIVITY_POZICIE!$B$41-12*('TCO TO BE- SW'!$D160-1))&gt;12,((L$4+'TCO TO BE - HW'!L$4)/($E$4+'TCO TO BE - HW'!$E$4)*SUM(AKTIVITY_POZICIE!$M$41:$M$52)*1.2)/AKTIVITY_POZICIE!$B$41*12,IF((AKTIVITY_POZICIE!$B$41-12*('TCO TO BE- SW'!$D160-1))&lt;0,0,(AKTIVITY_POZICIE!$B$41-12*('TCO TO BE- SW'!$D160-1))*((L$4+'TCO TO BE - HW'!L$4)/($E$4+'TCO TO BE - HW'!$E$4)*SUM(AKTIVITY_POZICIE!$M$41:$M$52)*1.2)/AKTIVITY_POZICIE!$B$41)),0)</f>
        <v>0</v>
      </c>
      <c r="M160" s="577">
        <f>IFERROR(IF((POZICIE_INTERNE!$B$40-12*('TCO TO BE- SW'!$D160-1))&gt;12,((M$4+'TCO TO BE - HW'!M$4)/($E$4+'TCO TO BE - HW'!$E$4)*SUM(POZICIE_INTERNE!$I$40:$I$51))/POZICIE_INTERNE!$B$40*12,IF((POZICIE_INTERNE!$B$40-12*('TCO TO BE- SW'!$D160-1))&lt;0,0,(POZICIE_INTERNE!$B$40-12*('TCO TO BE- SW'!$D160-1))*((M$4+'TCO TO BE - HW'!M$4)/($E$4+'TCO TO BE - HW'!$E$4)*SUM(POZICIE_INTERNE!$I$40:$I$51))/POZICIE_INTERNE!$B$40)),0)+IFERROR(IF((AKTIVITY_POZICIE!$B$41-12*('TCO TO BE- SW'!$D160-1))&gt;12,((M$4+'TCO TO BE - HW'!M$4)/($E$4+'TCO TO BE - HW'!$E$4)*SUM(AKTIVITY_POZICIE!$M$41:$M$52)*1.2)/AKTIVITY_POZICIE!$B$41*12,IF((AKTIVITY_POZICIE!$B$41-12*('TCO TO BE- SW'!$D160-1))&lt;0,0,(AKTIVITY_POZICIE!$B$41-12*('TCO TO BE- SW'!$D160-1))*((M$4+'TCO TO BE - HW'!M$4)/($E$4+'TCO TO BE - HW'!$E$4)*SUM(AKTIVITY_POZICIE!$M$41:$M$52)*1.2)/AKTIVITY_POZICIE!$B$41)),0)</f>
        <v>0</v>
      </c>
      <c r="N160" s="577">
        <f>IFERROR(IF((POZICIE_INTERNE!$B$40-12*('TCO TO BE- SW'!$D160-1))&gt;12,((N$4+'TCO TO BE - HW'!N$4)/($E$4+'TCO TO BE - HW'!$E$4)*SUM(POZICIE_INTERNE!$I$40:$I$51))/POZICIE_INTERNE!$B$40*12,IF((POZICIE_INTERNE!$B$40-12*('TCO TO BE- SW'!$D160-1))&lt;0,0,(POZICIE_INTERNE!$B$40-12*('TCO TO BE- SW'!$D160-1))*((N$4+'TCO TO BE - HW'!N$4)/($E$4+'TCO TO BE - HW'!$E$4)*SUM(POZICIE_INTERNE!$I$40:$I$51))/POZICIE_INTERNE!$B$40)),0)+IFERROR(IF((AKTIVITY_POZICIE!$B$41-12*('TCO TO BE- SW'!$D160-1))&gt;12,((N$4+'TCO TO BE - HW'!N$4)/($E$4+'TCO TO BE - HW'!$E$4)*SUM(AKTIVITY_POZICIE!$M$41:$M$52)*1.2)/AKTIVITY_POZICIE!$B$41*12,IF((AKTIVITY_POZICIE!$B$41-12*('TCO TO BE- SW'!$D160-1))&lt;0,0,(AKTIVITY_POZICIE!$B$41-12*('TCO TO BE- SW'!$D160-1))*((N$4+'TCO TO BE - HW'!N$4)/($E$4+'TCO TO BE - HW'!$E$4)*SUM(AKTIVITY_POZICIE!$M$41:$M$52)*1.2)/AKTIVITY_POZICIE!$B$41)),0)</f>
        <v>0</v>
      </c>
      <c r="O160" s="577">
        <f>IFERROR(IF((POZICIE_INTERNE!$B$40-12*('TCO TO BE- SW'!$D160-1))&gt;12,((O$4+'TCO TO BE - HW'!O$4)/($E$4+'TCO TO BE - HW'!$E$4)*SUM(POZICIE_INTERNE!$I$40:$I$51))/POZICIE_INTERNE!$B$40*12,IF((POZICIE_INTERNE!$B$40-12*('TCO TO BE- SW'!$D160-1))&lt;0,0,(POZICIE_INTERNE!$B$40-12*('TCO TO BE- SW'!$D160-1))*((O$4+'TCO TO BE - HW'!O$4)/($E$4+'TCO TO BE - HW'!$E$4)*SUM(POZICIE_INTERNE!$I$40:$I$51))/POZICIE_INTERNE!$B$40)),0)+IFERROR(IF((AKTIVITY_POZICIE!$B$41-12*('TCO TO BE- SW'!$D160-1))&gt;12,((O$4+'TCO TO BE - HW'!O$4)/($E$4+'TCO TO BE - HW'!$E$4)*SUM(AKTIVITY_POZICIE!$M$41:$M$52)*1.2)/AKTIVITY_POZICIE!$B$41*12,IF((AKTIVITY_POZICIE!$B$41-12*('TCO TO BE- SW'!$D160-1))&lt;0,0,(AKTIVITY_POZICIE!$B$41-12*('TCO TO BE- SW'!$D160-1))*((O$4+'TCO TO BE - HW'!O$4)/($E$4+'TCO TO BE - HW'!$E$4)*SUM(AKTIVITY_POZICIE!$M$41:$M$52)*1.2)/AKTIVITY_POZICIE!$B$41)),0)</f>
        <v>0</v>
      </c>
      <c r="P160" s="577">
        <f>IFERROR(IF((POZICIE_INTERNE!$B$40-12*('TCO TO BE- SW'!$D160-1))&gt;12,((P$4+'TCO TO BE - HW'!P$4)/($E$4+'TCO TO BE - HW'!$E$4)*SUM(POZICIE_INTERNE!$I$40:$I$51))/POZICIE_INTERNE!$B$40*12,IF((POZICIE_INTERNE!$B$40-12*('TCO TO BE- SW'!$D160-1))&lt;0,0,(POZICIE_INTERNE!$B$40-12*('TCO TO BE- SW'!$D160-1))*((P$4+'TCO TO BE - HW'!P$4)/($E$4+'TCO TO BE - HW'!$E$4)*SUM(POZICIE_INTERNE!$I$40:$I$51))/POZICIE_INTERNE!$B$40)),0)+IFERROR(IF((AKTIVITY_POZICIE!$B$41-12*('TCO TO BE- SW'!$D160-1))&gt;12,((P$4+'TCO TO BE - HW'!P$4)/($E$4+'TCO TO BE - HW'!$E$4)*SUM(AKTIVITY_POZICIE!$M$41:$M$52)*1.2)/AKTIVITY_POZICIE!$B$41*12,IF((AKTIVITY_POZICIE!$B$41-12*('TCO TO BE- SW'!$D160-1))&lt;0,0,(AKTIVITY_POZICIE!$B$41-12*('TCO TO BE- SW'!$D160-1))*((P$4+'TCO TO BE - HW'!P$4)/($E$4+'TCO TO BE - HW'!$E$4)*SUM(AKTIVITY_POZICIE!$M$41:$M$52)*1.2)/AKTIVITY_POZICIE!$B$41)),0)</f>
        <v>0</v>
      </c>
      <c r="Q160" s="577">
        <f>IFERROR(IF((POZICIE_INTERNE!$B$40-12*('TCO TO BE- SW'!$D160-1))&gt;12,((Q$4+'TCO TO BE - HW'!Q$4)/($E$4+'TCO TO BE - HW'!$E$4)*SUM(POZICIE_INTERNE!$I$40:$I$51))/POZICIE_INTERNE!$B$40*12,IF((POZICIE_INTERNE!$B$40-12*('TCO TO BE- SW'!$D160-1))&lt;0,0,(POZICIE_INTERNE!$B$40-12*('TCO TO BE- SW'!$D160-1))*((Q$4+'TCO TO BE - HW'!Q$4)/($E$4+'TCO TO BE - HW'!$E$4)*SUM(POZICIE_INTERNE!$I$40:$I$51))/POZICIE_INTERNE!$B$40)),0)+IFERROR(IF((AKTIVITY_POZICIE!$B$41-12*('TCO TO BE- SW'!$D160-1))&gt;12,((Q$4+'TCO TO BE - HW'!Q$4)/($E$4+'TCO TO BE - HW'!$E$4)*SUM(AKTIVITY_POZICIE!$M$41:$M$52)*1.2)/AKTIVITY_POZICIE!$B$41*12,IF((AKTIVITY_POZICIE!$B$41-12*('TCO TO BE- SW'!$D160-1))&lt;0,0,(AKTIVITY_POZICIE!$B$41-12*('TCO TO BE- SW'!$D160-1))*((Q$4+'TCO TO BE - HW'!Q$4)/($E$4+'TCO TO BE - HW'!$E$4)*SUM(AKTIVITY_POZICIE!$M$41:$M$52)*1.2)/AKTIVITY_POZICIE!$B$41)),0)</f>
        <v>0</v>
      </c>
      <c r="R160" s="577">
        <f>IFERROR(IF((POZICIE_INTERNE!$B$40-12*('TCO TO BE- SW'!$D160-1))&gt;12,((R$4+'TCO TO BE - HW'!R$4)/($E$4+'TCO TO BE - HW'!$E$4)*SUM(POZICIE_INTERNE!$I$40:$I$51))/POZICIE_INTERNE!$B$40*12,IF((POZICIE_INTERNE!$B$40-12*('TCO TO BE- SW'!$D160-1))&lt;0,0,(POZICIE_INTERNE!$B$40-12*('TCO TO BE- SW'!$D160-1))*((R$4+'TCO TO BE - HW'!R$4)/($E$4+'TCO TO BE - HW'!$E$4)*SUM(POZICIE_INTERNE!$I$40:$I$51))/POZICIE_INTERNE!$B$40)),0)+IFERROR(IF((AKTIVITY_POZICIE!$B$41-12*('TCO TO BE- SW'!$D160-1))&gt;12,((R$4+'TCO TO BE - HW'!R$4)/($E$4+'TCO TO BE - HW'!$E$4)*SUM(AKTIVITY_POZICIE!$M$41:$M$52)*1.2)/AKTIVITY_POZICIE!$B$41*12,IF((AKTIVITY_POZICIE!$B$41-12*('TCO TO BE- SW'!$D160-1))&lt;0,0,(AKTIVITY_POZICIE!$B$41-12*('TCO TO BE- SW'!$D160-1))*((R$4+'TCO TO BE - HW'!R$4)/($E$4+'TCO TO BE - HW'!$E$4)*SUM(AKTIVITY_POZICIE!$M$41:$M$52)*1.2)/AKTIVITY_POZICIE!$B$41)),0)</f>
        <v>0</v>
      </c>
      <c r="S160" s="577">
        <f>IFERROR(IF((POZICIE_INTERNE!$B$40-12*('TCO TO BE- SW'!$D160-1))&gt;12,((S$4+'TCO TO BE - HW'!S$4)/($E$4+'TCO TO BE - HW'!$E$4)*SUM(POZICIE_INTERNE!$I$40:$I$51))/POZICIE_INTERNE!$B$40*12,IF((POZICIE_INTERNE!$B$40-12*('TCO TO BE- SW'!$D160-1))&lt;0,0,(POZICIE_INTERNE!$B$40-12*('TCO TO BE- SW'!$D160-1))*((S$4+'TCO TO BE - HW'!S$4)/($E$4+'TCO TO BE - HW'!$E$4)*SUM(POZICIE_INTERNE!$I$40:$I$51))/POZICIE_INTERNE!$B$40)),0)+IFERROR(IF((AKTIVITY_POZICIE!$B$41-12*('TCO TO BE- SW'!$D160-1))&gt;12,((S$4+'TCO TO BE - HW'!S$4)/($E$4+'TCO TO BE - HW'!$E$4)*SUM(AKTIVITY_POZICIE!$M$41:$M$52)*1.2)/AKTIVITY_POZICIE!$B$41*12,IF((AKTIVITY_POZICIE!$B$41-12*('TCO TO BE- SW'!$D160-1))&lt;0,0,(AKTIVITY_POZICIE!$B$41-12*('TCO TO BE- SW'!$D160-1))*((S$4+'TCO TO BE - HW'!S$4)/($E$4+'TCO TO BE - HW'!$E$4)*SUM(AKTIVITY_POZICIE!$M$41:$M$52)*1.2)/AKTIVITY_POZICIE!$B$41)),0)</f>
        <v>0</v>
      </c>
      <c r="T160" s="577">
        <f>IFERROR(IF((POZICIE_INTERNE!$B$40-12*('TCO TO BE- SW'!$D160-1))&gt;12,((T$4+'TCO TO BE - HW'!T$4)/($E$4+'TCO TO BE - HW'!$E$4)*SUM(POZICIE_INTERNE!$I$40:$I$51))/POZICIE_INTERNE!$B$40*12,IF((POZICIE_INTERNE!$B$40-12*('TCO TO BE- SW'!$D160-1))&lt;0,0,(POZICIE_INTERNE!$B$40-12*('TCO TO BE- SW'!$D160-1))*((T$4+'TCO TO BE - HW'!T$4)/($E$4+'TCO TO BE - HW'!$E$4)*SUM(POZICIE_INTERNE!$I$40:$I$51))/POZICIE_INTERNE!$B$40)),0)+IFERROR(IF((AKTIVITY_POZICIE!$B$41-12*('TCO TO BE- SW'!$D160-1))&gt;12,((T$4+'TCO TO BE - HW'!T$4)/($E$4+'TCO TO BE - HW'!$E$4)*SUM(AKTIVITY_POZICIE!$M$41:$M$52)*1.2)/AKTIVITY_POZICIE!$B$41*12,IF((AKTIVITY_POZICIE!$B$41-12*('TCO TO BE- SW'!$D160-1))&lt;0,0,(AKTIVITY_POZICIE!$B$41-12*('TCO TO BE- SW'!$D160-1))*((T$4+'TCO TO BE - HW'!T$4)/($E$4+'TCO TO BE - HW'!$E$4)*SUM(AKTIVITY_POZICIE!$M$41:$M$52)*1.2)/AKTIVITY_POZICIE!$B$41)),0)</f>
        <v>0</v>
      </c>
      <c r="U160" s="577">
        <f>IFERROR(IF((POZICIE_INTERNE!$B$40-12*('TCO TO BE- SW'!$D160-1))&gt;12,((U$4+'TCO TO BE - HW'!U$4)/($E$4+'TCO TO BE - HW'!$E$4)*SUM(POZICIE_INTERNE!$I$40:$I$51))/POZICIE_INTERNE!$B$40*12,IF((POZICIE_INTERNE!$B$40-12*('TCO TO BE- SW'!$D160-1))&lt;0,0,(POZICIE_INTERNE!$B$40-12*('TCO TO BE- SW'!$D160-1))*((U$4+'TCO TO BE - HW'!U$4)/($E$4+'TCO TO BE - HW'!$E$4)*SUM(POZICIE_INTERNE!$I$40:$I$51))/POZICIE_INTERNE!$B$40)),0)+IFERROR(IF((AKTIVITY_POZICIE!$B$41-12*('TCO TO BE- SW'!$D160-1))&gt;12,((U$4+'TCO TO BE - HW'!U$4)/($E$4+'TCO TO BE - HW'!$E$4)*SUM(AKTIVITY_POZICIE!$M$41:$M$52)*1.2)/AKTIVITY_POZICIE!$B$41*12,IF((AKTIVITY_POZICIE!$B$41-12*('TCO TO BE- SW'!$D160-1))&lt;0,0,(AKTIVITY_POZICIE!$B$41-12*('TCO TO BE- SW'!$D160-1))*((U$4+'TCO TO BE - HW'!U$4)/($E$4+'TCO TO BE - HW'!$E$4)*SUM(AKTIVITY_POZICIE!$M$41:$M$52)*1.2)/AKTIVITY_POZICIE!$B$41)),0)</f>
        <v>0</v>
      </c>
      <c r="V160" s="577">
        <f>IFERROR(IF((POZICIE_INTERNE!$B$40-12*('TCO TO BE- SW'!$D160-1))&gt;12,((V$4+'TCO TO BE - HW'!V$4)/($E$4+'TCO TO BE - HW'!$E$4)*SUM(POZICIE_INTERNE!$I$40:$I$51))/POZICIE_INTERNE!$B$40*12,IF((POZICIE_INTERNE!$B$40-12*('TCO TO BE- SW'!$D160-1))&lt;0,0,(POZICIE_INTERNE!$B$40-12*('TCO TO BE- SW'!$D160-1))*((V$4+'TCO TO BE - HW'!V$4)/($E$4+'TCO TO BE - HW'!$E$4)*SUM(POZICIE_INTERNE!$I$40:$I$51))/POZICIE_INTERNE!$B$40)),0)+IFERROR(IF((AKTIVITY_POZICIE!$B$41-12*('TCO TO BE- SW'!$D160-1))&gt;12,((V$4+'TCO TO BE - HW'!V$4)/($E$4+'TCO TO BE - HW'!$E$4)*SUM(AKTIVITY_POZICIE!$M$41:$M$52)*1.2)/AKTIVITY_POZICIE!$B$41*12,IF((AKTIVITY_POZICIE!$B$41-12*('TCO TO BE- SW'!$D160-1))&lt;0,0,(AKTIVITY_POZICIE!$B$41-12*('TCO TO BE- SW'!$D160-1))*((V$4+'TCO TO BE - HW'!V$4)/($E$4+'TCO TO BE - HW'!$E$4)*SUM(AKTIVITY_POZICIE!$M$41:$M$52)*1.2)/AKTIVITY_POZICIE!$B$41)),0)</f>
        <v>0</v>
      </c>
      <c r="W160" s="577">
        <f>IFERROR(IF((POZICIE_INTERNE!$B$40-12*('TCO TO BE- SW'!$D160-1))&gt;12,((W$4+'TCO TO BE - HW'!W$4)/($E$4+'TCO TO BE - HW'!$E$4)*SUM(POZICIE_INTERNE!$I$40:$I$51))/POZICIE_INTERNE!$B$40*12,IF((POZICIE_INTERNE!$B$40-12*('TCO TO BE- SW'!$D160-1))&lt;0,0,(POZICIE_INTERNE!$B$40-12*('TCO TO BE- SW'!$D160-1))*((W$4+'TCO TO BE - HW'!W$4)/($E$4+'TCO TO BE - HW'!$E$4)*SUM(POZICIE_INTERNE!$I$40:$I$51))/POZICIE_INTERNE!$B$40)),0)+IFERROR(IF((AKTIVITY_POZICIE!$B$41-12*('TCO TO BE- SW'!$D160-1))&gt;12,((W$4+'TCO TO BE - HW'!W$4)/($E$4+'TCO TO BE - HW'!$E$4)*SUM(AKTIVITY_POZICIE!$M$41:$M$52)*1.2)/AKTIVITY_POZICIE!$B$41*12,IF((AKTIVITY_POZICIE!$B$41-12*('TCO TO BE- SW'!$D160-1))&lt;0,0,(AKTIVITY_POZICIE!$B$41-12*('TCO TO BE- SW'!$D160-1))*((W$4+'TCO TO BE - HW'!W$4)/($E$4+'TCO TO BE - HW'!$E$4)*SUM(AKTIVITY_POZICIE!$M$41:$M$52)*1.2)/AKTIVITY_POZICIE!$B$41)),0)</f>
        <v>0</v>
      </c>
      <c r="X160" s="577">
        <f>IFERROR(IF((POZICIE_INTERNE!$B$40-12*('TCO TO BE- SW'!$D160-1))&gt;12,((X$4+'TCO TO BE - HW'!X$4)/($E$4+'TCO TO BE - HW'!$E$4)*SUM(POZICIE_INTERNE!$I$40:$I$51))/POZICIE_INTERNE!$B$40*12,IF((POZICIE_INTERNE!$B$40-12*('TCO TO BE- SW'!$D160-1))&lt;0,0,(POZICIE_INTERNE!$B$40-12*('TCO TO BE- SW'!$D160-1))*((X$4+'TCO TO BE - HW'!X$4)/($E$4+'TCO TO BE - HW'!$E$4)*SUM(POZICIE_INTERNE!$I$40:$I$51))/POZICIE_INTERNE!$B$40)),0)+IFERROR(IF((AKTIVITY_POZICIE!$B$41-12*('TCO TO BE- SW'!$D160-1))&gt;12,((X$4+'TCO TO BE - HW'!X$4)/($E$4+'TCO TO BE - HW'!$E$4)*SUM(AKTIVITY_POZICIE!$M$41:$M$52)*1.2)/AKTIVITY_POZICIE!$B$41*12,IF((AKTIVITY_POZICIE!$B$41-12*('TCO TO BE- SW'!$D160-1))&lt;0,0,(AKTIVITY_POZICIE!$B$41-12*('TCO TO BE- SW'!$D160-1))*((X$4+'TCO TO BE - HW'!X$4)/($E$4+'TCO TO BE - HW'!$E$4)*SUM(AKTIVITY_POZICIE!$M$41:$M$52)*1.2)/AKTIVITY_POZICIE!$B$41)),0)</f>
        <v>0</v>
      </c>
      <c r="Y160" s="577">
        <f>IFERROR(IF((POZICIE_INTERNE!$B$40-12*('TCO TO BE- SW'!$D160-1))&gt;12,((Y$4+'TCO TO BE - HW'!Y$4)/($E$4+'TCO TO BE - HW'!$E$4)*SUM(POZICIE_INTERNE!$I$40:$I$51))/POZICIE_INTERNE!$B$40*12,IF((POZICIE_INTERNE!$B$40-12*('TCO TO BE- SW'!$D160-1))&lt;0,0,(POZICIE_INTERNE!$B$40-12*('TCO TO BE- SW'!$D160-1))*((Y$4+'TCO TO BE - HW'!Y$4)/($E$4+'TCO TO BE - HW'!$E$4)*SUM(POZICIE_INTERNE!$I$40:$I$51))/POZICIE_INTERNE!$B$40)),0)+IFERROR(IF((AKTIVITY_POZICIE!$B$41-12*('TCO TO BE- SW'!$D160-1))&gt;12,((Y$4+'TCO TO BE - HW'!Y$4)/($E$4+'TCO TO BE - HW'!$E$4)*SUM(AKTIVITY_POZICIE!$M$41:$M$52)*1.2)/AKTIVITY_POZICIE!$B$41*12,IF((AKTIVITY_POZICIE!$B$41-12*('TCO TO BE- SW'!$D160-1))&lt;0,0,(AKTIVITY_POZICIE!$B$41-12*('TCO TO BE- SW'!$D160-1))*((Y$4+'TCO TO BE - HW'!Y$4)/($E$4+'TCO TO BE - HW'!$E$4)*SUM(AKTIVITY_POZICIE!$M$41:$M$52)*1.2)/AKTIVITY_POZICIE!$B$41)),0)</f>
        <v>0</v>
      </c>
      <c r="Z160" s="577">
        <f>IFERROR(IF((POZICIE_INTERNE!$B$40-12*('TCO TO BE- SW'!$D160-1))&gt;12,((Z$4+'TCO TO BE - HW'!Z$4)/($E$4+'TCO TO BE - HW'!$E$4)*SUM(POZICIE_INTERNE!$I$40:$I$51))/POZICIE_INTERNE!$B$40*12,IF((POZICIE_INTERNE!$B$40-12*('TCO TO BE- SW'!$D160-1))&lt;0,0,(POZICIE_INTERNE!$B$40-12*('TCO TO BE- SW'!$D160-1))*((Z$4+'TCO TO BE - HW'!Z$4)/($E$4+'TCO TO BE - HW'!$E$4)*SUM(POZICIE_INTERNE!$I$40:$I$51))/POZICIE_INTERNE!$B$40)),0)+IFERROR(IF((AKTIVITY_POZICIE!$B$41-12*('TCO TO BE- SW'!$D160-1))&gt;12,((Z$4+'TCO TO BE - HW'!Z$4)/($E$4+'TCO TO BE - HW'!$E$4)*SUM(AKTIVITY_POZICIE!$M$41:$M$52)*1.2)/AKTIVITY_POZICIE!$B$41*12,IF((AKTIVITY_POZICIE!$B$41-12*('TCO TO BE- SW'!$D160-1))&lt;0,0,(AKTIVITY_POZICIE!$B$41-12*('TCO TO BE- SW'!$D160-1))*((Z$4+'TCO TO BE - HW'!Z$4)/($E$4+'TCO TO BE - HW'!$E$4)*SUM(AKTIVITY_POZICIE!$M$41:$M$52)*1.2)/AKTIVITY_POZICIE!$B$41)),0)</f>
        <v>0</v>
      </c>
    </row>
    <row r="161" spans="1:26">
      <c r="A161" s="824" t="s">
        <v>777</v>
      </c>
      <c r="B161" s="825"/>
      <c r="C161" s="825" t="s">
        <v>778</v>
      </c>
      <c r="D161" s="63">
        <v>1</v>
      </c>
      <c r="E161" s="68">
        <f t="shared" si="16"/>
        <v>0</v>
      </c>
      <c r="F161" s="576">
        <f>IFERROR(IF((POZICIE_INTERNE!$B$52-12*('TCO TO BE- SW'!$D151-1))&gt;12,((F$4+'TCO TO BE - HW'!F$4)/($E$4+'TCO TO BE - HW'!$E$4)*SUM(POZICIE_INTERNE!$I$52:$I$63))/POZICIE_INTERNE!$B$52*12,IF((POZICIE_INTERNE!$B$52-12*('TCO TO BE- SW'!$D151-1))&lt;0,0,(POZICIE_INTERNE!$B$52-12*('TCO TO BE- SW'!$D151-1))*((F$4+'TCO TO BE - HW'!F$4)/($E$4+'TCO TO BE - HW'!$E$4)*SUM(POZICIE_INTERNE!$I$52:$I$63))/POZICIE_INTERNE!$B$52)),0)+IFERROR(IF((AKTIVITY_POZICIE!$B$53-12*('TCO TO BE- SW'!$D151-1))&gt;12,((F$4+'TCO TO BE - HW'!F$4)/($E$4+'TCO TO BE - HW'!$E$4)*SUM(AKTIVITY_POZICIE!$M$53:$M$64)*1.2)/AKTIVITY_POZICIE!$B$41*12,IF((AKTIVITY_POZICIE!$B$53-12*('TCO TO BE- SW'!$D151-1))&lt;0,0,(AKTIVITY_POZICIE!$B$53-12*('TCO TO BE- SW'!$D151-1))*((F$4+'TCO TO BE - HW'!F$4)/($E$4+'TCO TO BE - HW'!$E$4)*SUM(AKTIVITY_POZICIE!$M$53:$M$64)*1.2)/AKTIVITY_POZICIE!$B$53)),0)+IFERROR(SUM(#REF!)*'TCO TO BE- SW'!F$4/'TCO TO BE- SW'!$E$4,0)</f>
        <v>0</v>
      </c>
      <c r="G161" s="576">
        <f>IFERROR(IF((POZICIE_INTERNE!$B$52-12*('TCO TO BE- SW'!$D151-1))&gt;12,((G$4+'TCO TO BE - HW'!G$4)/($E$4+'TCO TO BE - HW'!$E$4)*SUM(POZICIE_INTERNE!$I$52:$I$63))/POZICIE_INTERNE!$B$52*12,IF((POZICIE_INTERNE!$B$52-12*('TCO TO BE- SW'!$D151-1))&lt;0,0,(POZICIE_INTERNE!$B$52-12*('TCO TO BE- SW'!$D151-1))*((G$4+'TCO TO BE - HW'!G$4)/($E$4+'TCO TO BE - HW'!$E$4)*SUM(POZICIE_INTERNE!$I$52:$I$63))/POZICIE_INTERNE!$B$52)),0)+IFERROR(IF((AKTIVITY_POZICIE!$B$53-12*('TCO TO BE- SW'!$D151-1))&gt;12,((G$4+'TCO TO BE - HW'!G$4)/($E$4+'TCO TO BE - HW'!$E$4)*SUM(AKTIVITY_POZICIE!$M$53:$M$64)*1.2)/AKTIVITY_POZICIE!$B$41*12,IF((AKTIVITY_POZICIE!$B$53-12*('TCO TO BE- SW'!$D151-1))&lt;0,0,(AKTIVITY_POZICIE!$B$53-12*('TCO TO BE- SW'!$D151-1))*((G$4+'TCO TO BE - HW'!G$4)/($E$4+'TCO TO BE - HW'!$E$4)*SUM(AKTIVITY_POZICIE!$M$53:$M$64)*1.2)/AKTIVITY_POZICIE!$B$53)),0)+IFERROR(SUM(#REF!)*'TCO TO BE- SW'!G$4/'TCO TO BE- SW'!$E$4,0)</f>
        <v>0</v>
      </c>
      <c r="H161" s="576">
        <f>IFERROR(IF((POZICIE_INTERNE!$B$52-12*('TCO TO BE- SW'!$D151-1))&gt;12,((H$4+'TCO TO BE - HW'!H$4)/($E$4+'TCO TO BE - HW'!$E$4)*SUM(POZICIE_INTERNE!$I$52:$I$63))/POZICIE_INTERNE!$B$52*12,IF((POZICIE_INTERNE!$B$52-12*('TCO TO BE- SW'!$D151-1))&lt;0,0,(POZICIE_INTERNE!$B$52-12*('TCO TO BE- SW'!$D151-1))*((H$4+'TCO TO BE - HW'!H$4)/($E$4+'TCO TO BE - HW'!$E$4)*SUM(POZICIE_INTERNE!$I$52:$I$63))/POZICIE_INTERNE!$B$52)),0)+IFERROR(IF((AKTIVITY_POZICIE!$B$53-12*('TCO TO BE- SW'!$D151-1))&gt;12,((H$4+'TCO TO BE - HW'!H$4)/($E$4+'TCO TO BE - HW'!$E$4)*SUM(AKTIVITY_POZICIE!$M$53:$M$64)*1.2)/AKTIVITY_POZICIE!$B$41*12,IF((AKTIVITY_POZICIE!$B$53-12*('TCO TO BE- SW'!$D151-1))&lt;0,0,(AKTIVITY_POZICIE!$B$53-12*('TCO TO BE- SW'!$D151-1))*((H$4+'TCO TO BE - HW'!H$4)/($E$4+'TCO TO BE - HW'!$E$4)*SUM(AKTIVITY_POZICIE!$M$53:$M$64)*1.2)/AKTIVITY_POZICIE!$B$53)),0)+IFERROR(SUM(#REF!)*'TCO TO BE- SW'!H$4/'TCO TO BE- SW'!$E$4,0)</f>
        <v>0</v>
      </c>
      <c r="I161" s="576">
        <f>IFERROR(IF((POZICIE_INTERNE!$B$52-12*('TCO TO BE- SW'!$D151-1))&gt;12,((I$4+'TCO TO BE - HW'!I$4)/($E$4+'TCO TO BE - HW'!$E$4)*SUM(POZICIE_INTERNE!$I$52:$I$63))/POZICIE_INTERNE!$B$52*12,IF((POZICIE_INTERNE!$B$52-12*('TCO TO BE- SW'!$D151-1))&lt;0,0,(POZICIE_INTERNE!$B$52-12*('TCO TO BE- SW'!$D151-1))*((I$4+'TCO TO BE - HW'!I$4)/($E$4+'TCO TO BE - HW'!$E$4)*SUM(POZICIE_INTERNE!$I$52:$I$63))/POZICIE_INTERNE!$B$52)),0)+IFERROR(IF((AKTIVITY_POZICIE!$B$53-12*('TCO TO BE- SW'!$D151-1))&gt;12,((I$4+'TCO TO BE - HW'!I$4)/($E$4+'TCO TO BE - HW'!$E$4)*SUM(AKTIVITY_POZICIE!$M$53:$M$64)*1.2)/AKTIVITY_POZICIE!$B$41*12,IF((AKTIVITY_POZICIE!$B$53-12*('TCO TO BE- SW'!$D151-1))&lt;0,0,(AKTIVITY_POZICIE!$B$53-12*('TCO TO BE- SW'!$D151-1))*((I$4+'TCO TO BE - HW'!I$4)/($E$4+'TCO TO BE - HW'!$E$4)*SUM(AKTIVITY_POZICIE!$M$53:$M$64)*1.2)/AKTIVITY_POZICIE!$B$53)),0)+IFERROR(SUM(#REF!)*'TCO TO BE- SW'!I$4/'TCO TO BE- SW'!$E$4,0)</f>
        <v>0</v>
      </c>
      <c r="J161" s="576">
        <f>IFERROR(IF((POZICIE_INTERNE!$B$52-12*('TCO TO BE- SW'!$D151-1))&gt;12,((J$4+'TCO TO BE - HW'!J$4)/($E$4+'TCO TO BE - HW'!$E$4)*SUM(POZICIE_INTERNE!$I$52:$I$63))/POZICIE_INTERNE!$B$52*12,IF((POZICIE_INTERNE!$B$52-12*('TCO TO BE- SW'!$D151-1))&lt;0,0,(POZICIE_INTERNE!$B$52-12*('TCO TO BE- SW'!$D151-1))*((J$4+'TCO TO BE - HW'!J$4)/($E$4+'TCO TO BE - HW'!$E$4)*SUM(POZICIE_INTERNE!$I$52:$I$63))/POZICIE_INTERNE!$B$52)),0)+IFERROR(IF((AKTIVITY_POZICIE!$B$53-12*('TCO TO BE- SW'!$D151-1))&gt;12,((J$4+'TCO TO BE - HW'!J$4)/($E$4+'TCO TO BE - HW'!$E$4)*SUM(AKTIVITY_POZICIE!$M$53:$M$64)*1.2)/AKTIVITY_POZICIE!$B$41*12,IF((AKTIVITY_POZICIE!$B$53-12*('TCO TO BE- SW'!$D151-1))&lt;0,0,(AKTIVITY_POZICIE!$B$53-12*('TCO TO BE- SW'!$D151-1))*((J$4+'TCO TO BE - HW'!J$4)/($E$4+'TCO TO BE - HW'!$E$4)*SUM(AKTIVITY_POZICIE!$M$53:$M$64)*1.2)/AKTIVITY_POZICIE!$B$53)),0)+IFERROR(SUM(#REF!)*'TCO TO BE- SW'!J$4/'TCO TO BE- SW'!$E$4,0)</f>
        <v>0</v>
      </c>
      <c r="K161" s="576">
        <f>IFERROR(IF((POZICIE_INTERNE!$B$52-12*('TCO TO BE- SW'!$D151-1))&gt;12,((K$4+'TCO TO BE - HW'!K$4)/($E$4+'TCO TO BE - HW'!$E$4)*SUM(POZICIE_INTERNE!$I$52:$I$63))/POZICIE_INTERNE!$B$52*12,IF((POZICIE_INTERNE!$B$52-12*('TCO TO BE- SW'!$D151-1))&lt;0,0,(POZICIE_INTERNE!$B$52-12*('TCO TO BE- SW'!$D151-1))*((K$4+'TCO TO BE - HW'!K$4)/($E$4+'TCO TO BE - HW'!$E$4)*SUM(POZICIE_INTERNE!$I$52:$I$63))/POZICIE_INTERNE!$B$52)),0)+IFERROR(IF((AKTIVITY_POZICIE!$B$53-12*('TCO TO BE- SW'!$D151-1))&gt;12,((K$4+'TCO TO BE - HW'!K$4)/($E$4+'TCO TO BE - HW'!$E$4)*SUM(AKTIVITY_POZICIE!$M$53:$M$64)*1.2)/AKTIVITY_POZICIE!$B$41*12,IF((AKTIVITY_POZICIE!$B$53-12*('TCO TO BE- SW'!$D151-1))&lt;0,0,(AKTIVITY_POZICIE!$B$53-12*('TCO TO BE- SW'!$D151-1))*((K$4+'TCO TO BE - HW'!K$4)/($E$4+'TCO TO BE - HW'!$E$4)*SUM(AKTIVITY_POZICIE!$M$53:$M$64)*1.2)/AKTIVITY_POZICIE!$B$53)),0)+IFERROR(SUM(#REF!)*'TCO TO BE- SW'!K$4/'TCO TO BE- SW'!$E$4,0)</f>
        <v>0</v>
      </c>
      <c r="L161" s="576">
        <f>IFERROR(IF((POZICIE_INTERNE!$B$52-12*('TCO TO BE- SW'!$D151-1))&gt;12,((L$4+'TCO TO BE - HW'!L$4)/($E$4+'TCO TO BE - HW'!$E$4)*SUM(POZICIE_INTERNE!$I$52:$I$63))/POZICIE_INTERNE!$B$52*12,IF((POZICIE_INTERNE!$B$52-12*('TCO TO BE- SW'!$D151-1))&lt;0,0,(POZICIE_INTERNE!$B$52-12*('TCO TO BE- SW'!$D151-1))*((L$4+'TCO TO BE - HW'!L$4)/($E$4+'TCO TO BE - HW'!$E$4)*SUM(POZICIE_INTERNE!$I$52:$I$63))/POZICIE_INTERNE!$B$52)),0)+IFERROR(IF((AKTIVITY_POZICIE!$B$53-12*('TCO TO BE- SW'!$D151-1))&gt;12,((L$4+'TCO TO BE - HW'!L$4)/($E$4+'TCO TO BE - HW'!$E$4)*SUM(AKTIVITY_POZICIE!$M$53:$M$64)*1.2)/AKTIVITY_POZICIE!$B$41*12,IF((AKTIVITY_POZICIE!$B$53-12*('TCO TO BE- SW'!$D151-1))&lt;0,0,(AKTIVITY_POZICIE!$B$53-12*('TCO TO BE- SW'!$D151-1))*((L$4+'TCO TO BE - HW'!L$4)/($E$4+'TCO TO BE - HW'!$E$4)*SUM(AKTIVITY_POZICIE!$M$53:$M$64)*1.2)/AKTIVITY_POZICIE!$B$53)),0)+IFERROR(SUM(#REF!)*'TCO TO BE- SW'!L$4/'TCO TO BE- SW'!$E$4,0)</f>
        <v>0</v>
      </c>
      <c r="M161" s="576">
        <f>IFERROR(IF((POZICIE_INTERNE!$B$52-12*('TCO TO BE- SW'!$D151-1))&gt;12,((M$4+'TCO TO BE - HW'!M$4)/($E$4+'TCO TO BE - HW'!$E$4)*SUM(POZICIE_INTERNE!$I$52:$I$63))/POZICIE_INTERNE!$B$52*12,IF((POZICIE_INTERNE!$B$52-12*('TCO TO BE- SW'!$D151-1))&lt;0,0,(POZICIE_INTERNE!$B$52-12*('TCO TO BE- SW'!$D151-1))*((M$4+'TCO TO BE - HW'!M$4)/($E$4+'TCO TO BE - HW'!$E$4)*SUM(POZICIE_INTERNE!$I$52:$I$63))/POZICIE_INTERNE!$B$52)),0)+IFERROR(IF((AKTIVITY_POZICIE!$B$53-12*('TCO TO BE- SW'!$D151-1))&gt;12,((M$4+'TCO TO BE - HW'!M$4)/($E$4+'TCO TO BE - HW'!$E$4)*SUM(AKTIVITY_POZICIE!$M$53:$M$64)*1.2)/AKTIVITY_POZICIE!$B$41*12,IF((AKTIVITY_POZICIE!$B$53-12*('TCO TO BE- SW'!$D151-1))&lt;0,0,(AKTIVITY_POZICIE!$B$53-12*('TCO TO BE- SW'!$D151-1))*((M$4+'TCO TO BE - HW'!M$4)/($E$4+'TCO TO BE - HW'!$E$4)*SUM(AKTIVITY_POZICIE!$M$53:$M$64)*1.2)/AKTIVITY_POZICIE!$B$53)),0)+IFERROR(SUM(#REF!)*'TCO TO BE- SW'!M$4/'TCO TO BE- SW'!$E$4,0)</f>
        <v>0</v>
      </c>
      <c r="N161" s="576">
        <f>IFERROR(IF((POZICIE_INTERNE!$B$52-12*('TCO TO BE- SW'!$D151-1))&gt;12,((N$4+'TCO TO BE - HW'!N$4)/($E$4+'TCO TO BE - HW'!$E$4)*SUM(POZICIE_INTERNE!$I$52:$I$63))/POZICIE_INTERNE!$B$52*12,IF((POZICIE_INTERNE!$B$52-12*('TCO TO BE- SW'!$D151-1))&lt;0,0,(POZICIE_INTERNE!$B$52-12*('TCO TO BE- SW'!$D151-1))*((N$4+'TCO TO BE - HW'!N$4)/($E$4+'TCO TO BE - HW'!$E$4)*SUM(POZICIE_INTERNE!$I$52:$I$63))/POZICIE_INTERNE!$B$52)),0)+IFERROR(IF((AKTIVITY_POZICIE!$B$53-12*('TCO TO BE- SW'!$D151-1))&gt;12,((N$4+'TCO TO BE - HW'!N$4)/($E$4+'TCO TO BE - HW'!$E$4)*SUM(AKTIVITY_POZICIE!$M$53:$M$64)*1.2)/AKTIVITY_POZICIE!$B$41*12,IF((AKTIVITY_POZICIE!$B$53-12*('TCO TO BE- SW'!$D151-1))&lt;0,0,(AKTIVITY_POZICIE!$B$53-12*('TCO TO BE- SW'!$D151-1))*((N$4+'TCO TO BE - HW'!N$4)/($E$4+'TCO TO BE - HW'!$E$4)*SUM(AKTIVITY_POZICIE!$M$53:$M$64)*1.2)/AKTIVITY_POZICIE!$B$53)),0)+IFERROR(SUM(#REF!)*'TCO TO BE- SW'!N$4/'TCO TO BE- SW'!$E$4,0)</f>
        <v>0</v>
      </c>
      <c r="O161" s="576">
        <f>IFERROR(IF((POZICIE_INTERNE!$B$52-12*('TCO TO BE- SW'!$D151-1))&gt;12,((O$4+'TCO TO BE - HW'!O$4)/($E$4+'TCO TO BE - HW'!$E$4)*SUM(POZICIE_INTERNE!$I$52:$I$63))/POZICIE_INTERNE!$B$52*12,IF((POZICIE_INTERNE!$B$52-12*('TCO TO BE- SW'!$D151-1))&lt;0,0,(POZICIE_INTERNE!$B$52-12*('TCO TO BE- SW'!$D151-1))*((O$4+'TCO TO BE - HW'!O$4)/($E$4+'TCO TO BE - HW'!$E$4)*SUM(POZICIE_INTERNE!$I$52:$I$63))/POZICIE_INTERNE!$B$52)),0)+IFERROR(IF((AKTIVITY_POZICIE!$B$53-12*('TCO TO BE- SW'!$D151-1))&gt;12,((O$4+'TCO TO BE - HW'!O$4)/($E$4+'TCO TO BE - HW'!$E$4)*SUM(AKTIVITY_POZICIE!$M$53:$M$64)*1.2)/AKTIVITY_POZICIE!$B$41*12,IF((AKTIVITY_POZICIE!$B$53-12*('TCO TO BE- SW'!$D151-1))&lt;0,0,(AKTIVITY_POZICIE!$B$53-12*('TCO TO BE- SW'!$D151-1))*((O$4+'TCO TO BE - HW'!O$4)/($E$4+'TCO TO BE - HW'!$E$4)*SUM(AKTIVITY_POZICIE!$M$53:$M$64)*1.2)/AKTIVITY_POZICIE!$B$53)),0)+IFERROR(SUM(#REF!)*'TCO TO BE- SW'!O$4/'TCO TO BE- SW'!$E$4,0)</f>
        <v>0</v>
      </c>
      <c r="P161" s="576">
        <f>IFERROR(IF((POZICIE_INTERNE!$B$52-12*('TCO TO BE- SW'!$D151-1))&gt;12,((P$4+'TCO TO BE - HW'!P$4)/($E$4+'TCO TO BE - HW'!$E$4)*SUM(POZICIE_INTERNE!$I$52:$I$63))/POZICIE_INTERNE!$B$52*12,IF((POZICIE_INTERNE!$B$52-12*('TCO TO BE- SW'!$D151-1))&lt;0,0,(POZICIE_INTERNE!$B$52-12*('TCO TO BE- SW'!$D151-1))*((P$4+'TCO TO BE - HW'!P$4)/($E$4+'TCO TO BE - HW'!$E$4)*SUM(POZICIE_INTERNE!$I$52:$I$63))/POZICIE_INTERNE!$B$52)),0)+IFERROR(IF((AKTIVITY_POZICIE!$B$53-12*('TCO TO BE- SW'!$D151-1))&gt;12,((P$4+'TCO TO BE - HW'!P$4)/($E$4+'TCO TO BE - HW'!$E$4)*SUM(AKTIVITY_POZICIE!$M$53:$M$64)*1.2)/AKTIVITY_POZICIE!$B$41*12,IF((AKTIVITY_POZICIE!$B$53-12*('TCO TO BE- SW'!$D151-1))&lt;0,0,(AKTIVITY_POZICIE!$B$53-12*('TCO TO BE- SW'!$D151-1))*((P$4+'TCO TO BE - HW'!P$4)/($E$4+'TCO TO BE - HW'!$E$4)*SUM(AKTIVITY_POZICIE!$M$53:$M$64)*1.2)/AKTIVITY_POZICIE!$B$53)),0)+IFERROR(SUM(#REF!)*'TCO TO BE- SW'!P$4/'TCO TO BE- SW'!$E$4,0)</f>
        <v>0</v>
      </c>
      <c r="Q161" s="576">
        <f>IFERROR(IF((POZICIE_INTERNE!$B$52-12*('TCO TO BE- SW'!$D151-1))&gt;12,((Q$4+'TCO TO BE - HW'!Q$4)/($E$4+'TCO TO BE - HW'!$E$4)*SUM(POZICIE_INTERNE!$I$52:$I$63))/POZICIE_INTERNE!$B$52*12,IF((POZICIE_INTERNE!$B$52-12*('TCO TO BE- SW'!$D151-1))&lt;0,0,(POZICIE_INTERNE!$B$52-12*('TCO TO BE- SW'!$D151-1))*((Q$4+'TCO TO BE - HW'!Q$4)/($E$4+'TCO TO BE - HW'!$E$4)*SUM(POZICIE_INTERNE!$I$52:$I$63))/POZICIE_INTERNE!$B$52)),0)+IFERROR(IF((AKTIVITY_POZICIE!$B$53-12*('TCO TO BE- SW'!$D151-1))&gt;12,((Q$4+'TCO TO BE - HW'!Q$4)/($E$4+'TCO TO BE - HW'!$E$4)*SUM(AKTIVITY_POZICIE!$M$53:$M$64)*1.2)/AKTIVITY_POZICIE!$B$41*12,IF((AKTIVITY_POZICIE!$B$53-12*('TCO TO BE- SW'!$D151-1))&lt;0,0,(AKTIVITY_POZICIE!$B$53-12*('TCO TO BE- SW'!$D151-1))*((Q$4+'TCO TO BE - HW'!Q$4)/($E$4+'TCO TO BE - HW'!$E$4)*SUM(AKTIVITY_POZICIE!$M$53:$M$64)*1.2)/AKTIVITY_POZICIE!$B$53)),0)+IFERROR(SUM(#REF!)*'TCO TO BE- SW'!Q$4/'TCO TO BE- SW'!$E$4,0)</f>
        <v>0</v>
      </c>
      <c r="R161" s="576">
        <f>IFERROR(IF((POZICIE_INTERNE!$B$52-12*('TCO TO BE- SW'!$D151-1))&gt;12,((R$4+'TCO TO BE - HW'!R$4)/($E$4+'TCO TO BE - HW'!$E$4)*SUM(POZICIE_INTERNE!$I$52:$I$63))/POZICIE_INTERNE!$B$52*12,IF((POZICIE_INTERNE!$B$52-12*('TCO TO BE- SW'!$D151-1))&lt;0,0,(POZICIE_INTERNE!$B$52-12*('TCO TO BE- SW'!$D151-1))*((R$4+'TCO TO BE - HW'!R$4)/($E$4+'TCO TO BE - HW'!$E$4)*SUM(POZICIE_INTERNE!$I$52:$I$63))/POZICIE_INTERNE!$B$52)),0)+IFERROR(IF((AKTIVITY_POZICIE!$B$53-12*('TCO TO BE- SW'!$D151-1))&gt;12,((R$4+'TCO TO BE - HW'!R$4)/($E$4+'TCO TO BE - HW'!$E$4)*SUM(AKTIVITY_POZICIE!$M$53:$M$64)*1.2)/AKTIVITY_POZICIE!$B$41*12,IF((AKTIVITY_POZICIE!$B$53-12*('TCO TO BE- SW'!$D151-1))&lt;0,0,(AKTIVITY_POZICIE!$B$53-12*('TCO TO BE- SW'!$D151-1))*((R$4+'TCO TO BE - HW'!R$4)/($E$4+'TCO TO BE - HW'!$E$4)*SUM(AKTIVITY_POZICIE!$M$53:$M$64)*1.2)/AKTIVITY_POZICIE!$B$53)),0)+IFERROR(SUM(#REF!)*'TCO TO BE- SW'!R$4/'TCO TO BE- SW'!$E$4,0)</f>
        <v>0</v>
      </c>
      <c r="S161" s="576">
        <f>IFERROR(IF((POZICIE_INTERNE!$B$52-12*('TCO TO BE- SW'!$D151-1))&gt;12,((S$4+'TCO TO BE - HW'!S$4)/($E$4+'TCO TO BE - HW'!$E$4)*SUM(POZICIE_INTERNE!$I$52:$I$63))/POZICIE_INTERNE!$B$52*12,IF((POZICIE_INTERNE!$B$52-12*('TCO TO BE- SW'!$D151-1))&lt;0,0,(POZICIE_INTERNE!$B$52-12*('TCO TO BE- SW'!$D151-1))*((S$4+'TCO TO BE - HW'!S$4)/($E$4+'TCO TO BE - HW'!$E$4)*SUM(POZICIE_INTERNE!$I$52:$I$63))/POZICIE_INTERNE!$B$52)),0)+IFERROR(IF((AKTIVITY_POZICIE!$B$53-12*('TCO TO BE- SW'!$D151-1))&gt;12,((S$4+'TCO TO BE - HW'!S$4)/($E$4+'TCO TO BE - HW'!$E$4)*SUM(AKTIVITY_POZICIE!$M$53:$M$64)*1.2)/AKTIVITY_POZICIE!$B$41*12,IF((AKTIVITY_POZICIE!$B$53-12*('TCO TO BE- SW'!$D151-1))&lt;0,0,(AKTIVITY_POZICIE!$B$53-12*('TCO TO BE- SW'!$D151-1))*((S$4+'TCO TO BE - HW'!S$4)/($E$4+'TCO TO BE - HW'!$E$4)*SUM(AKTIVITY_POZICIE!$M$53:$M$64)*1.2)/AKTIVITY_POZICIE!$B$53)),0)+IFERROR(SUM(#REF!)*'TCO TO BE- SW'!S$4/'TCO TO BE- SW'!$E$4,0)</f>
        <v>0</v>
      </c>
      <c r="T161" s="576">
        <f>IFERROR(IF((POZICIE_INTERNE!$B$52-12*('TCO TO BE- SW'!$D151-1))&gt;12,((T$4+'TCO TO BE - HW'!T$4)/($E$4+'TCO TO BE - HW'!$E$4)*SUM(POZICIE_INTERNE!$I$52:$I$63))/POZICIE_INTERNE!$B$52*12,IF((POZICIE_INTERNE!$B$52-12*('TCO TO BE- SW'!$D151-1))&lt;0,0,(POZICIE_INTERNE!$B$52-12*('TCO TO BE- SW'!$D151-1))*((T$4+'TCO TO BE - HW'!T$4)/($E$4+'TCO TO BE - HW'!$E$4)*SUM(POZICIE_INTERNE!$I$52:$I$63))/POZICIE_INTERNE!$B$52)),0)+IFERROR(IF((AKTIVITY_POZICIE!$B$53-12*('TCO TO BE- SW'!$D151-1))&gt;12,((T$4+'TCO TO BE - HW'!T$4)/($E$4+'TCO TO BE - HW'!$E$4)*SUM(AKTIVITY_POZICIE!$M$53:$M$64)*1.2)/AKTIVITY_POZICIE!$B$41*12,IF((AKTIVITY_POZICIE!$B$53-12*('TCO TO BE- SW'!$D151-1))&lt;0,0,(AKTIVITY_POZICIE!$B$53-12*('TCO TO BE- SW'!$D151-1))*((T$4+'TCO TO BE - HW'!T$4)/($E$4+'TCO TO BE - HW'!$E$4)*SUM(AKTIVITY_POZICIE!$M$53:$M$64)*1.2)/AKTIVITY_POZICIE!$B$53)),0)+IFERROR(SUM(#REF!)*'TCO TO BE- SW'!T$4/'TCO TO BE- SW'!$E$4,0)</f>
        <v>0</v>
      </c>
      <c r="U161" s="576">
        <f>IFERROR(IF((POZICIE_INTERNE!$B$52-12*('TCO TO BE- SW'!$D151-1))&gt;12,((U$4+'TCO TO BE - HW'!U$4)/($E$4+'TCO TO BE - HW'!$E$4)*SUM(POZICIE_INTERNE!$I$52:$I$63))/POZICIE_INTERNE!$B$52*12,IF((POZICIE_INTERNE!$B$52-12*('TCO TO BE- SW'!$D151-1))&lt;0,0,(POZICIE_INTERNE!$B$52-12*('TCO TO BE- SW'!$D151-1))*((U$4+'TCO TO BE - HW'!U$4)/($E$4+'TCO TO BE - HW'!$E$4)*SUM(POZICIE_INTERNE!$I$52:$I$63))/POZICIE_INTERNE!$B$52)),0)+IFERROR(IF((AKTIVITY_POZICIE!$B$53-12*('TCO TO BE- SW'!$D151-1))&gt;12,((U$4+'TCO TO BE - HW'!U$4)/($E$4+'TCO TO BE - HW'!$E$4)*SUM(AKTIVITY_POZICIE!$M$53:$M$64)*1.2)/AKTIVITY_POZICIE!$B$41*12,IF((AKTIVITY_POZICIE!$B$53-12*('TCO TO BE- SW'!$D151-1))&lt;0,0,(AKTIVITY_POZICIE!$B$53-12*('TCO TO BE- SW'!$D151-1))*((U$4+'TCO TO BE - HW'!U$4)/($E$4+'TCO TO BE - HW'!$E$4)*SUM(AKTIVITY_POZICIE!$M$53:$M$64)*1.2)/AKTIVITY_POZICIE!$B$53)),0)+IFERROR(SUM(#REF!)*'TCO TO BE- SW'!U$4/'TCO TO BE- SW'!$E$4,0)</f>
        <v>0</v>
      </c>
      <c r="V161" s="576">
        <f>IFERROR(IF((POZICIE_INTERNE!$B$52-12*('TCO TO BE- SW'!$D151-1))&gt;12,((V$4+'TCO TO BE - HW'!V$4)/($E$4+'TCO TO BE - HW'!$E$4)*SUM(POZICIE_INTERNE!$I$52:$I$63))/POZICIE_INTERNE!$B$52*12,IF((POZICIE_INTERNE!$B$52-12*('TCO TO BE- SW'!$D151-1))&lt;0,0,(POZICIE_INTERNE!$B$52-12*('TCO TO BE- SW'!$D151-1))*((V$4+'TCO TO BE - HW'!V$4)/($E$4+'TCO TO BE - HW'!$E$4)*SUM(POZICIE_INTERNE!$I$52:$I$63))/POZICIE_INTERNE!$B$52)),0)+IFERROR(IF((AKTIVITY_POZICIE!$B$53-12*('TCO TO BE- SW'!$D151-1))&gt;12,((V$4+'TCO TO BE - HW'!V$4)/($E$4+'TCO TO BE - HW'!$E$4)*SUM(AKTIVITY_POZICIE!$M$53:$M$64)*1.2)/AKTIVITY_POZICIE!$B$41*12,IF((AKTIVITY_POZICIE!$B$53-12*('TCO TO BE- SW'!$D151-1))&lt;0,0,(AKTIVITY_POZICIE!$B$53-12*('TCO TO BE- SW'!$D151-1))*((V$4+'TCO TO BE - HW'!V$4)/($E$4+'TCO TO BE - HW'!$E$4)*SUM(AKTIVITY_POZICIE!$M$53:$M$64)*1.2)/AKTIVITY_POZICIE!$B$53)),0)+IFERROR(SUM(#REF!)*'TCO TO BE- SW'!V$4/'TCO TO BE- SW'!$E$4,0)</f>
        <v>0</v>
      </c>
      <c r="W161" s="576">
        <f>IFERROR(IF((POZICIE_INTERNE!$B$52-12*('TCO TO BE- SW'!$D151-1))&gt;12,((W$4+'TCO TO BE - HW'!W$4)/($E$4+'TCO TO BE - HW'!$E$4)*SUM(POZICIE_INTERNE!$I$52:$I$63))/POZICIE_INTERNE!$B$52*12,IF((POZICIE_INTERNE!$B$52-12*('TCO TO BE- SW'!$D151-1))&lt;0,0,(POZICIE_INTERNE!$B$52-12*('TCO TO BE- SW'!$D151-1))*((W$4+'TCO TO BE - HW'!W$4)/($E$4+'TCO TO BE - HW'!$E$4)*SUM(POZICIE_INTERNE!$I$52:$I$63))/POZICIE_INTERNE!$B$52)),0)+IFERROR(IF((AKTIVITY_POZICIE!$B$53-12*('TCO TO BE- SW'!$D151-1))&gt;12,((W$4+'TCO TO BE - HW'!W$4)/($E$4+'TCO TO BE - HW'!$E$4)*SUM(AKTIVITY_POZICIE!$M$53:$M$64)*1.2)/AKTIVITY_POZICIE!$B$41*12,IF((AKTIVITY_POZICIE!$B$53-12*('TCO TO BE- SW'!$D151-1))&lt;0,0,(AKTIVITY_POZICIE!$B$53-12*('TCO TO BE- SW'!$D151-1))*((W$4+'TCO TO BE - HW'!W$4)/($E$4+'TCO TO BE - HW'!$E$4)*SUM(AKTIVITY_POZICIE!$M$53:$M$64)*1.2)/AKTIVITY_POZICIE!$B$53)),0)+IFERROR(SUM(#REF!)*'TCO TO BE- SW'!W$4/'TCO TO BE- SW'!$E$4,0)</f>
        <v>0</v>
      </c>
      <c r="X161" s="576">
        <f>IFERROR(IF((POZICIE_INTERNE!$B$52-12*('TCO TO BE- SW'!$D151-1))&gt;12,((X$4+'TCO TO BE - HW'!X$4)/($E$4+'TCO TO BE - HW'!$E$4)*SUM(POZICIE_INTERNE!$I$52:$I$63))/POZICIE_INTERNE!$B$52*12,IF((POZICIE_INTERNE!$B$52-12*('TCO TO BE- SW'!$D151-1))&lt;0,0,(POZICIE_INTERNE!$B$52-12*('TCO TO BE- SW'!$D151-1))*((X$4+'TCO TO BE - HW'!X$4)/($E$4+'TCO TO BE - HW'!$E$4)*SUM(POZICIE_INTERNE!$I$52:$I$63))/POZICIE_INTERNE!$B$52)),0)+IFERROR(IF((AKTIVITY_POZICIE!$B$53-12*('TCO TO BE- SW'!$D151-1))&gt;12,((X$4+'TCO TO BE - HW'!X$4)/($E$4+'TCO TO BE - HW'!$E$4)*SUM(AKTIVITY_POZICIE!$M$53:$M$64)*1.2)/AKTIVITY_POZICIE!$B$41*12,IF((AKTIVITY_POZICIE!$B$53-12*('TCO TO BE- SW'!$D151-1))&lt;0,0,(AKTIVITY_POZICIE!$B$53-12*('TCO TO BE- SW'!$D151-1))*((X$4+'TCO TO BE - HW'!X$4)/($E$4+'TCO TO BE - HW'!$E$4)*SUM(AKTIVITY_POZICIE!$M$53:$M$64)*1.2)/AKTIVITY_POZICIE!$B$53)),0)+IFERROR(SUM(#REF!)*'TCO TO BE- SW'!X$4/'TCO TO BE- SW'!$E$4,0)</f>
        <v>0</v>
      </c>
      <c r="Y161" s="576">
        <f>IFERROR(IF((POZICIE_INTERNE!$B$52-12*('TCO TO BE- SW'!$D151-1))&gt;12,((Y$4+'TCO TO BE - HW'!Y$4)/($E$4+'TCO TO BE - HW'!$E$4)*SUM(POZICIE_INTERNE!$I$52:$I$63))/POZICIE_INTERNE!$B$52*12,IF((POZICIE_INTERNE!$B$52-12*('TCO TO BE- SW'!$D151-1))&lt;0,0,(POZICIE_INTERNE!$B$52-12*('TCO TO BE- SW'!$D151-1))*((Y$4+'TCO TO BE - HW'!Y$4)/($E$4+'TCO TO BE - HW'!$E$4)*SUM(POZICIE_INTERNE!$I$52:$I$63))/POZICIE_INTERNE!$B$52)),0)+IFERROR(IF((AKTIVITY_POZICIE!$B$53-12*('TCO TO BE- SW'!$D151-1))&gt;12,((Y$4+'TCO TO BE - HW'!Y$4)/($E$4+'TCO TO BE - HW'!$E$4)*SUM(AKTIVITY_POZICIE!$M$53:$M$64)*1.2)/AKTIVITY_POZICIE!$B$41*12,IF((AKTIVITY_POZICIE!$B$53-12*('TCO TO BE- SW'!$D151-1))&lt;0,0,(AKTIVITY_POZICIE!$B$53-12*('TCO TO BE- SW'!$D151-1))*((Y$4+'TCO TO BE - HW'!Y$4)/($E$4+'TCO TO BE - HW'!$E$4)*SUM(AKTIVITY_POZICIE!$M$53:$M$64)*1.2)/AKTIVITY_POZICIE!$B$53)),0)+IFERROR(SUM(#REF!)*'TCO TO BE- SW'!Y$4/'TCO TO BE- SW'!$E$4,0)</f>
        <v>0</v>
      </c>
      <c r="Z161" s="576">
        <f>IFERROR(IF((POZICIE_INTERNE!$B$52-12*('TCO TO BE- SW'!$D151-1))&gt;12,((Z$4+'TCO TO BE - HW'!Z$4)/($E$4+'TCO TO BE - HW'!$E$4)*SUM(POZICIE_INTERNE!$I$52:$I$63))/POZICIE_INTERNE!$B$52*12,IF((POZICIE_INTERNE!$B$52-12*('TCO TO BE- SW'!$D151-1))&lt;0,0,(POZICIE_INTERNE!$B$52-12*('TCO TO BE- SW'!$D151-1))*((Z$4+'TCO TO BE - HW'!Z$4)/($E$4+'TCO TO BE - HW'!$E$4)*SUM(POZICIE_INTERNE!$I$52:$I$63))/POZICIE_INTERNE!$B$52)),0)+IFERROR(IF((AKTIVITY_POZICIE!$B$53-12*('TCO TO BE- SW'!$D151-1))&gt;12,((Z$4+'TCO TO BE - HW'!Z$4)/($E$4+'TCO TO BE - HW'!$E$4)*SUM(AKTIVITY_POZICIE!$M$53:$M$64)*1.2)/AKTIVITY_POZICIE!$B$41*12,IF((AKTIVITY_POZICIE!$B$53-12*('TCO TO BE- SW'!$D151-1))&lt;0,0,(AKTIVITY_POZICIE!$B$53-12*('TCO TO BE- SW'!$D151-1))*((Z$4+'TCO TO BE - HW'!Z$4)/($E$4+'TCO TO BE - HW'!$E$4)*SUM(AKTIVITY_POZICIE!$M$53:$M$64)*1.2)/AKTIVITY_POZICIE!$B$53)),0)+IFERROR(SUM(#REF!)*'TCO TO BE- SW'!Z$4/'TCO TO BE- SW'!$E$4,0)</f>
        <v>0</v>
      </c>
    </row>
    <row r="162" spans="1:26">
      <c r="A162" s="824"/>
      <c r="B162" s="825"/>
      <c r="C162" s="825"/>
      <c r="D162" s="64">
        <v>2</v>
      </c>
      <c r="E162" s="68">
        <f t="shared" si="16"/>
        <v>0</v>
      </c>
      <c r="F162" s="577">
        <f>IFERROR(IF((POZICIE_INTERNE!$B$52-12*('TCO TO BE- SW'!$D152-1))&gt;12,((F$4+'TCO TO BE - HW'!F$4)/($E$4+'TCO TO BE - HW'!$E$4)*SUM(POZICIE_INTERNE!$I$52:$I$63))/POZICIE_INTERNE!$B$52*12,IF((POZICIE_INTERNE!$B$52-12*('TCO TO BE- SW'!$D152-1))&lt;0,0,(POZICIE_INTERNE!$B$52-12*('TCO TO BE- SW'!$D152-1))*((F$4+'TCO TO BE - HW'!F$4)/($E$4+'TCO TO BE - HW'!$E$4)*SUM(POZICIE_INTERNE!$I$52:$I$63))/POZICIE_INTERNE!$B$52)),0)+IFERROR(IF((AKTIVITY_POZICIE!$B$53-12*('TCO TO BE- SW'!$D152-1))&gt;12,((F$4+'TCO TO BE - HW'!F$4)/($E$4+'TCO TO BE - HW'!$E$4)*SUM(AKTIVITY_POZICIE!$M$53:$M$64)*1.2)/AKTIVITY_POZICIE!$B$41*12,IF((AKTIVITY_POZICIE!$B$53-12*('TCO TO BE- SW'!$D152-1))&lt;0,0,(AKTIVITY_POZICIE!$B$53-12*('TCO TO BE- SW'!$D152-1))*((F$4+'TCO TO BE - HW'!F$4)/($E$4+'TCO TO BE - HW'!$E$4)*SUM(AKTIVITY_POZICIE!$M$53:$M$64)*1.2)/AKTIVITY_POZICIE!$B$53)),0)</f>
        <v>0</v>
      </c>
      <c r="G162" s="577">
        <f>IFERROR(IF((POZICIE_INTERNE!$B$52-12*('TCO TO BE- SW'!$D152-1))&gt;12,((G$4+'TCO TO BE - HW'!G$4)/($E$4+'TCO TO BE - HW'!$E$4)*SUM(POZICIE_INTERNE!$I$52:$I$63))/POZICIE_INTERNE!$B$52*12,IF((POZICIE_INTERNE!$B$52-12*('TCO TO BE- SW'!$D152-1))&lt;0,0,(POZICIE_INTERNE!$B$52-12*('TCO TO BE- SW'!$D152-1))*((G$4+'TCO TO BE - HW'!G$4)/($E$4+'TCO TO BE - HW'!$E$4)*SUM(POZICIE_INTERNE!$I$52:$I$63))/POZICIE_INTERNE!$B$52)),0)+IFERROR(IF((AKTIVITY_POZICIE!$B$53-12*('TCO TO BE- SW'!$D152-1))&gt;12,((G$4+'TCO TO BE - HW'!G$4)/($E$4+'TCO TO BE - HW'!$E$4)*SUM(AKTIVITY_POZICIE!$M$53:$M$64))/AKTIVITY_POZICIE!$B$41*12,IF((AKTIVITY_POZICIE!$B$53-12*('TCO TO BE- SW'!$D152-1))&lt;0,0,(AKTIVITY_POZICIE!$B$53-12*('TCO TO BE- SW'!$D152-1))*((G$4+'TCO TO BE - HW'!G$4)/($E$4+'TCO TO BE - HW'!$E$4)*SUM(AKTIVITY_POZICIE!$M$53:$M$64))/AKTIVITY_POZICIE!$B$53)),0)</f>
        <v>0</v>
      </c>
      <c r="H162" s="577">
        <f>IFERROR(IF((POZICIE_INTERNE!$B$52-12*('TCO TO BE- SW'!$D152-1))&gt;12,((H$4+'TCO TO BE - HW'!H$4)/($E$4+'TCO TO BE - HW'!$E$4)*SUM(POZICIE_INTERNE!$I$52:$I$63))/POZICIE_INTERNE!$B$52*12,IF((POZICIE_INTERNE!$B$52-12*('TCO TO BE- SW'!$D152-1))&lt;0,0,(POZICIE_INTERNE!$B$52-12*('TCO TO BE- SW'!$D152-1))*((H$4+'TCO TO BE - HW'!H$4)/($E$4+'TCO TO BE - HW'!$E$4)*SUM(POZICIE_INTERNE!$I$52:$I$63))/POZICIE_INTERNE!$B$52)),0)+IFERROR(IF((AKTIVITY_POZICIE!$B$53-12*('TCO TO BE- SW'!$D152-1))&gt;12,((H$4+'TCO TO BE - HW'!H$4)/($E$4+'TCO TO BE - HW'!$E$4)*SUM(AKTIVITY_POZICIE!$M$53:$M$64))/AKTIVITY_POZICIE!$B$41*12,IF((AKTIVITY_POZICIE!$B$53-12*('TCO TO BE- SW'!$D152-1))&lt;0,0,(AKTIVITY_POZICIE!$B$53-12*('TCO TO BE- SW'!$D152-1))*((H$4+'TCO TO BE - HW'!H$4)/($E$4+'TCO TO BE - HW'!$E$4)*SUM(AKTIVITY_POZICIE!$M$53:$M$64))/AKTIVITY_POZICIE!$B$53)),0)</f>
        <v>0</v>
      </c>
      <c r="I162" s="577">
        <f>IFERROR(IF((POZICIE_INTERNE!$B$52-12*('TCO TO BE- SW'!$D152-1))&gt;12,((I$4+'TCO TO BE - HW'!I$4)/($E$4+'TCO TO BE - HW'!$E$4)*SUM(POZICIE_INTERNE!$I$52:$I$63))/POZICIE_INTERNE!$B$52*12,IF((POZICIE_INTERNE!$B$52-12*('TCO TO BE- SW'!$D152-1))&lt;0,0,(POZICIE_INTERNE!$B$52-12*('TCO TO BE- SW'!$D152-1))*((I$4+'TCO TO BE - HW'!I$4)/($E$4+'TCO TO BE - HW'!$E$4)*SUM(POZICIE_INTERNE!$I$52:$I$63))/POZICIE_INTERNE!$B$52)),0)+IFERROR(IF((AKTIVITY_POZICIE!$B$53-12*('TCO TO BE- SW'!$D152-1))&gt;12,((I$4+'TCO TO BE - HW'!I$4)/($E$4+'TCO TO BE - HW'!$E$4)*SUM(AKTIVITY_POZICIE!$M$53:$M$64))/AKTIVITY_POZICIE!$B$41*12,IF((AKTIVITY_POZICIE!$B$53-12*('TCO TO BE- SW'!$D152-1))&lt;0,0,(AKTIVITY_POZICIE!$B$53-12*('TCO TO BE- SW'!$D152-1))*((I$4+'TCO TO BE - HW'!I$4)/($E$4+'TCO TO BE - HW'!$E$4)*SUM(AKTIVITY_POZICIE!$M$53:$M$64))/AKTIVITY_POZICIE!$B$53)),0)</f>
        <v>0</v>
      </c>
      <c r="J162" s="577">
        <f>IFERROR(IF((POZICIE_INTERNE!$B$52-12*('TCO TO BE- SW'!$D152-1))&gt;12,((J$4+'TCO TO BE - HW'!J$4)/($E$4+'TCO TO BE - HW'!$E$4)*SUM(POZICIE_INTERNE!$I$52:$I$63))/POZICIE_INTERNE!$B$52*12,IF((POZICIE_INTERNE!$B$52-12*('TCO TO BE- SW'!$D152-1))&lt;0,0,(POZICIE_INTERNE!$B$52-12*('TCO TO BE- SW'!$D152-1))*((J$4+'TCO TO BE - HW'!J$4)/($E$4+'TCO TO BE - HW'!$E$4)*SUM(POZICIE_INTERNE!$I$52:$I$63))/POZICIE_INTERNE!$B$52)),0)+IFERROR(IF((AKTIVITY_POZICIE!$B$53-12*('TCO TO BE- SW'!$D152-1))&gt;12,((J$4+'TCO TO BE - HW'!J$4)/($E$4+'TCO TO BE - HW'!$E$4)*SUM(AKTIVITY_POZICIE!$M$53:$M$64))/AKTIVITY_POZICIE!$B$41*12,IF((AKTIVITY_POZICIE!$B$53-12*('TCO TO BE- SW'!$D152-1))&lt;0,0,(AKTIVITY_POZICIE!$B$53-12*('TCO TO BE- SW'!$D152-1))*((J$4+'TCO TO BE - HW'!J$4)/($E$4+'TCO TO BE - HW'!$E$4)*SUM(AKTIVITY_POZICIE!$M$53:$M$64))/AKTIVITY_POZICIE!$B$53)),0)</f>
        <v>0</v>
      </c>
      <c r="K162" s="577">
        <f>IFERROR(IF((POZICIE_INTERNE!$B$52-12*('TCO TO BE- SW'!$D152-1))&gt;12,((K$4+'TCO TO BE - HW'!K$4)/($E$4+'TCO TO BE - HW'!$E$4)*SUM(POZICIE_INTERNE!$I$52:$I$63))/POZICIE_INTERNE!$B$52*12,IF((POZICIE_INTERNE!$B$52-12*('TCO TO BE- SW'!$D152-1))&lt;0,0,(POZICIE_INTERNE!$B$52-12*('TCO TO BE- SW'!$D152-1))*((K$4+'TCO TO BE - HW'!K$4)/($E$4+'TCO TO BE - HW'!$E$4)*SUM(POZICIE_INTERNE!$I$52:$I$63))/POZICIE_INTERNE!$B$52)),0)+IFERROR(IF((AKTIVITY_POZICIE!$B$53-12*('TCO TO BE- SW'!$D152-1))&gt;12,((K$4+'TCO TO BE - HW'!K$4)/($E$4+'TCO TO BE - HW'!$E$4)*SUM(AKTIVITY_POZICIE!$M$53:$M$64))/AKTIVITY_POZICIE!$B$41*12,IF((AKTIVITY_POZICIE!$B$53-12*('TCO TO BE- SW'!$D152-1))&lt;0,0,(AKTIVITY_POZICIE!$B$53-12*('TCO TO BE- SW'!$D152-1))*((K$4+'TCO TO BE - HW'!K$4)/($E$4+'TCO TO BE - HW'!$E$4)*SUM(AKTIVITY_POZICIE!$M$53:$M$64))/AKTIVITY_POZICIE!$B$53)),0)</f>
        <v>0</v>
      </c>
      <c r="L162" s="577">
        <f>IFERROR(IF((POZICIE_INTERNE!$B$52-12*('TCO TO BE- SW'!$D152-1))&gt;12,((L$4+'TCO TO BE - HW'!L$4)/($E$4+'TCO TO BE - HW'!$E$4)*SUM(POZICIE_INTERNE!$I$52:$I$63))/POZICIE_INTERNE!$B$52*12,IF((POZICIE_INTERNE!$B$52-12*('TCO TO BE- SW'!$D152-1))&lt;0,0,(POZICIE_INTERNE!$B$52-12*('TCO TO BE- SW'!$D152-1))*((L$4+'TCO TO BE - HW'!L$4)/($E$4+'TCO TO BE - HW'!$E$4)*SUM(POZICIE_INTERNE!$I$52:$I$63))/POZICIE_INTERNE!$B$52)),0)+IFERROR(IF((AKTIVITY_POZICIE!$B$53-12*('TCO TO BE- SW'!$D152-1))&gt;12,((L$4+'TCO TO BE - HW'!L$4)/($E$4+'TCO TO BE - HW'!$E$4)*SUM(AKTIVITY_POZICIE!$M$53:$M$64))/AKTIVITY_POZICIE!$B$41*12,IF((AKTIVITY_POZICIE!$B$53-12*('TCO TO BE- SW'!$D152-1))&lt;0,0,(AKTIVITY_POZICIE!$B$53-12*('TCO TO BE- SW'!$D152-1))*((L$4+'TCO TO BE - HW'!L$4)/($E$4+'TCO TO BE - HW'!$E$4)*SUM(AKTIVITY_POZICIE!$M$53:$M$64))/AKTIVITY_POZICIE!$B$53)),0)</f>
        <v>0</v>
      </c>
      <c r="M162" s="577">
        <f>IFERROR(IF((POZICIE_INTERNE!$B$52-12*('TCO TO BE- SW'!$D152-1))&gt;12,((M$4+'TCO TO BE - HW'!M$4)/($E$4+'TCO TO BE - HW'!$E$4)*SUM(POZICIE_INTERNE!$I$52:$I$63))/POZICIE_INTERNE!$B$52*12,IF((POZICIE_INTERNE!$B$52-12*('TCO TO BE- SW'!$D152-1))&lt;0,0,(POZICIE_INTERNE!$B$52-12*('TCO TO BE- SW'!$D152-1))*((M$4+'TCO TO BE - HW'!M$4)/($E$4+'TCO TO BE - HW'!$E$4)*SUM(POZICIE_INTERNE!$I$52:$I$63))/POZICIE_INTERNE!$B$52)),0)+IFERROR(IF((AKTIVITY_POZICIE!$B$53-12*('TCO TO BE- SW'!$D152-1))&gt;12,((M$4+'TCO TO BE - HW'!M$4)/($E$4+'TCO TO BE - HW'!$E$4)*SUM(AKTIVITY_POZICIE!$M$53:$M$64))/AKTIVITY_POZICIE!$B$41*12,IF((AKTIVITY_POZICIE!$B$53-12*('TCO TO BE- SW'!$D152-1))&lt;0,0,(AKTIVITY_POZICIE!$B$53-12*('TCO TO BE- SW'!$D152-1))*((M$4+'TCO TO BE - HW'!M$4)/($E$4+'TCO TO BE - HW'!$E$4)*SUM(AKTIVITY_POZICIE!$M$53:$M$64))/AKTIVITY_POZICIE!$B$53)),0)</f>
        <v>0</v>
      </c>
      <c r="N162" s="577">
        <f>IFERROR(IF((POZICIE_INTERNE!$B$52-12*('TCO TO BE- SW'!$D152-1))&gt;12,((N$4+'TCO TO BE - HW'!N$4)/($E$4+'TCO TO BE - HW'!$E$4)*SUM(POZICIE_INTERNE!$I$52:$I$63))/POZICIE_INTERNE!$B$52*12,IF((POZICIE_INTERNE!$B$52-12*('TCO TO BE- SW'!$D152-1))&lt;0,0,(POZICIE_INTERNE!$B$52-12*('TCO TO BE- SW'!$D152-1))*((N$4+'TCO TO BE - HW'!N$4)/($E$4+'TCO TO BE - HW'!$E$4)*SUM(POZICIE_INTERNE!$I$52:$I$63))/POZICIE_INTERNE!$B$52)),0)+IFERROR(IF((AKTIVITY_POZICIE!$B$53-12*('TCO TO BE- SW'!$D152-1))&gt;12,((N$4+'TCO TO BE - HW'!N$4)/($E$4+'TCO TO BE - HW'!$E$4)*SUM(AKTIVITY_POZICIE!$M$53:$M$64))/AKTIVITY_POZICIE!$B$41*12,IF((AKTIVITY_POZICIE!$B$53-12*('TCO TO BE- SW'!$D152-1))&lt;0,0,(AKTIVITY_POZICIE!$B$53-12*('TCO TO BE- SW'!$D152-1))*((N$4+'TCO TO BE - HW'!N$4)/($E$4+'TCO TO BE - HW'!$E$4)*SUM(AKTIVITY_POZICIE!$M$53:$M$64))/AKTIVITY_POZICIE!$B$53)),0)</f>
        <v>0</v>
      </c>
      <c r="O162" s="577">
        <f>IFERROR(IF((POZICIE_INTERNE!$B$52-12*('TCO TO BE- SW'!$D152-1))&gt;12,((O$4+'TCO TO BE - HW'!O$4)/($E$4+'TCO TO BE - HW'!$E$4)*SUM(POZICIE_INTERNE!$I$52:$I$63))/POZICIE_INTERNE!$B$52*12,IF((POZICIE_INTERNE!$B$52-12*('TCO TO BE- SW'!$D152-1))&lt;0,0,(POZICIE_INTERNE!$B$52-12*('TCO TO BE- SW'!$D152-1))*((O$4+'TCO TO BE - HW'!O$4)/($E$4+'TCO TO BE - HW'!$E$4)*SUM(POZICIE_INTERNE!$I$52:$I$63))/POZICIE_INTERNE!$B$52)),0)+IFERROR(IF((AKTIVITY_POZICIE!$B$53-12*('TCO TO BE- SW'!$D152-1))&gt;12,((O$4+'TCO TO BE - HW'!O$4)/($E$4+'TCO TO BE - HW'!$E$4)*SUM(AKTIVITY_POZICIE!$M$53:$M$64))/AKTIVITY_POZICIE!$B$41*12,IF((AKTIVITY_POZICIE!$B$53-12*('TCO TO BE- SW'!$D152-1))&lt;0,0,(AKTIVITY_POZICIE!$B$53-12*('TCO TO BE- SW'!$D152-1))*((O$4+'TCO TO BE - HW'!O$4)/($E$4+'TCO TO BE - HW'!$E$4)*SUM(AKTIVITY_POZICIE!$M$53:$M$64))/AKTIVITY_POZICIE!$B$53)),0)</f>
        <v>0</v>
      </c>
      <c r="P162" s="577">
        <f>IFERROR(IF((POZICIE_INTERNE!$B$52-12*('TCO TO BE- SW'!$D152-1))&gt;12,((P$4+'TCO TO BE - HW'!P$4)/($E$4+'TCO TO BE - HW'!$E$4)*SUM(POZICIE_INTERNE!$I$52:$I$63))/POZICIE_INTERNE!$B$52*12,IF((POZICIE_INTERNE!$B$52-12*('TCO TO BE- SW'!$D152-1))&lt;0,0,(POZICIE_INTERNE!$B$52-12*('TCO TO BE- SW'!$D152-1))*((P$4+'TCO TO BE - HW'!P$4)/($E$4+'TCO TO BE - HW'!$E$4)*SUM(POZICIE_INTERNE!$I$52:$I$63))/POZICIE_INTERNE!$B$52)),0)+IFERROR(IF((AKTIVITY_POZICIE!$B$53-12*('TCO TO BE- SW'!$D152-1))&gt;12,((P$4+'TCO TO BE - HW'!P$4)/($E$4+'TCO TO BE - HW'!$E$4)*SUM(AKTIVITY_POZICIE!$M$53:$M$64))/AKTIVITY_POZICIE!$B$41*12,IF((AKTIVITY_POZICIE!$B$53-12*('TCO TO BE- SW'!$D152-1))&lt;0,0,(AKTIVITY_POZICIE!$B$53-12*('TCO TO BE- SW'!$D152-1))*((P$4+'TCO TO BE - HW'!P$4)/($E$4+'TCO TO BE - HW'!$E$4)*SUM(AKTIVITY_POZICIE!$M$53:$M$64))/AKTIVITY_POZICIE!$B$53)),0)</f>
        <v>0</v>
      </c>
      <c r="Q162" s="577">
        <f>IFERROR(IF((POZICIE_INTERNE!$B$52-12*('TCO TO BE- SW'!$D152-1))&gt;12,((Q$4+'TCO TO BE - HW'!Q$4)/($E$4+'TCO TO BE - HW'!$E$4)*SUM(POZICIE_INTERNE!$I$52:$I$63))/POZICIE_INTERNE!$B$52*12,IF((POZICIE_INTERNE!$B$52-12*('TCO TO BE- SW'!$D152-1))&lt;0,0,(POZICIE_INTERNE!$B$52-12*('TCO TO BE- SW'!$D152-1))*((Q$4+'TCO TO BE - HW'!Q$4)/($E$4+'TCO TO BE - HW'!$E$4)*SUM(POZICIE_INTERNE!$I$52:$I$63))/POZICIE_INTERNE!$B$52)),0)+IFERROR(IF((AKTIVITY_POZICIE!$B$53-12*('TCO TO BE- SW'!$D152-1))&gt;12,((Q$4+'TCO TO BE - HW'!Q$4)/($E$4+'TCO TO BE - HW'!$E$4)*SUM(AKTIVITY_POZICIE!$M$53:$M$64))/AKTIVITY_POZICIE!$B$41*12,IF((AKTIVITY_POZICIE!$B$53-12*('TCO TO BE- SW'!$D152-1))&lt;0,0,(AKTIVITY_POZICIE!$B$53-12*('TCO TO BE- SW'!$D152-1))*((Q$4+'TCO TO BE - HW'!Q$4)/($E$4+'TCO TO BE - HW'!$E$4)*SUM(AKTIVITY_POZICIE!$M$53:$M$64))/AKTIVITY_POZICIE!$B$53)),0)</f>
        <v>0</v>
      </c>
      <c r="R162" s="577">
        <f>IFERROR(IF((POZICIE_INTERNE!$B$52-12*('TCO TO BE- SW'!$D152-1))&gt;12,((R$4+'TCO TO BE - HW'!R$4)/($E$4+'TCO TO BE - HW'!$E$4)*SUM(POZICIE_INTERNE!$I$52:$I$63))/POZICIE_INTERNE!$B$52*12,IF((POZICIE_INTERNE!$B$52-12*('TCO TO BE- SW'!$D152-1))&lt;0,0,(POZICIE_INTERNE!$B$52-12*('TCO TO BE- SW'!$D152-1))*((R$4+'TCO TO BE - HW'!R$4)/($E$4+'TCO TO BE - HW'!$E$4)*SUM(POZICIE_INTERNE!$I$52:$I$63))/POZICIE_INTERNE!$B$52)),0)+IFERROR(IF((AKTIVITY_POZICIE!$B$53-12*('TCO TO BE- SW'!$D152-1))&gt;12,((R$4+'TCO TO BE - HW'!R$4)/($E$4+'TCO TO BE - HW'!$E$4)*SUM(AKTIVITY_POZICIE!$M$53:$M$64))/AKTIVITY_POZICIE!$B$41*12,IF((AKTIVITY_POZICIE!$B$53-12*('TCO TO BE- SW'!$D152-1))&lt;0,0,(AKTIVITY_POZICIE!$B$53-12*('TCO TO BE- SW'!$D152-1))*((R$4+'TCO TO BE - HW'!R$4)/($E$4+'TCO TO BE - HW'!$E$4)*SUM(AKTIVITY_POZICIE!$M$53:$M$64))/AKTIVITY_POZICIE!$B$53)),0)</f>
        <v>0</v>
      </c>
      <c r="S162" s="577">
        <f>IFERROR(IF((POZICIE_INTERNE!$B$52-12*('TCO TO BE- SW'!$D152-1))&gt;12,((S$4+'TCO TO BE - HW'!S$4)/($E$4+'TCO TO BE - HW'!$E$4)*SUM(POZICIE_INTERNE!$I$52:$I$63))/POZICIE_INTERNE!$B$52*12,IF((POZICIE_INTERNE!$B$52-12*('TCO TO BE- SW'!$D152-1))&lt;0,0,(POZICIE_INTERNE!$B$52-12*('TCO TO BE- SW'!$D152-1))*((S$4+'TCO TO BE - HW'!S$4)/($E$4+'TCO TO BE - HW'!$E$4)*SUM(POZICIE_INTERNE!$I$52:$I$63))/POZICIE_INTERNE!$B$52)),0)+IFERROR(IF((AKTIVITY_POZICIE!$B$53-12*('TCO TO BE- SW'!$D152-1))&gt;12,((S$4+'TCO TO BE - HW'!S$4)/($E$4+'TCO TO BE - HW'!$E$4)*SUM(AKTIVITY_POZICIE!$M$53:$M$64))/AKTIVITY_POZICIE!$B$41*12,IF((AKTIVITY_POZICIE!$B$53-12*('TCO TO BE- SW'!$D152-1))&lt;0,0,(AKTIVITY_POZICIE!$B$53-12*('TCO TO BE- SW'!$D152-1))*((S$4+'TCO TO BE - HW'!S$4)/($E$4+'TCO TO BE - HW'!$E$4)*SUM(AKTIVITY_POZICIE!$M$53:$M$64))/AKTIVITY_POZICIE!$B$53)),0)</f>
        <v>0</v>
      </c>
      <c r="T162" s="577">
        <f>IFERROR(IF((POZICIE_INTERNE!$B$52-12*('TCO TO BE- SW'!$D152-1))&gt;12,((T$4+'TCO TO BE - HW'!T$4)/($E$4+'TCO TO BE - HW'!$E$4)*SUM(POZICIE_INTERNE!$I$52:$I$63))/POZICIE_INTERNE!$B$52*12,IF((POZICIE_INTERNE!$B$52-12*('TCO TO BE- SW'!$D152-1))&lt;0,0,(POZICIE_INTERNE!$B$52-12*('TCO TO BE- SW'!$D152-1))*((T$4+'TCO TO BE - HW'!T$4)/($E$4+'TCO TO BE - HW'!$E$4)*SUM(POZICIE_INTERNE!$I$52:$I$63))/POZICIE_INTERNE!$B$52)),0)+IFERROR(IF((AKTIVITY_POZICIE!$B$53-12*('TCO TO BE- SW'!$D152-1))&gt;12,((T$4+'TCO TO BE - HW'!T$4)/($E$4+'TCO TO BE - HW'!$E$4)*SUM(AKTIVITY_POZICIE!$M$53:$M$64))/AKTIVITY_POZICIE!$B$41*12,IF((AKTIVITY_POZICIE!$B$53-12*('TCO TO BE- SW'!$D152-1))&lt;0,0,(AKTIVITY_POZICIE!$B$53-12*('TCO TO BE- SW'!$D152-1))*((T$4+'TCO TO BE - HW'!T$4)/($E$4+'TCO TO BE - HW'!$E$4)*SUM(AKTIVITY_POZICIE!$M$53:$M$64))/AKTIVITY_POZICIE!$B$53)),0)</f>
        <v>0</v>
      </c>
      <c r="U162" s="577">
        <f>IFERROR(IF((POZICIE_INTERNE!$B$52-12*('TCO TO BE- SW'!$D152-1))&gt;12,((U$4+'TCO TO BE - HW'!U$4)/($E$4+'TCO TO BE - HW'!$E$4)*SUM(POZICIE_INTERNE!$I$52:$I$63))/POZICIE_INTERNE!$B$52*12,IF((POZICIE_INTERNE!$B$52-12*('TCO TO BE- SW'!$D152-1))&lt;0,0,(POZICIE_INTERNE!$B$52-12*('TCO TO BE- SW'!$D152-1))*((U$4+'TCO TO BE - HW'!U$4)/($E$4+'TCO TO BE - HW'!$E$4)*SUM(POZICIE_INTERNE!$I$52:$I$63))/POZICIE_INTERNE!$B$52)),0)+IFERROR(IF((AKTIVITY_POZICIE!$B$53-12*('TCO TO BE- SW'!$D152-1))&gt;12,((U$4+'TCO TO BE - HW'!U$4)/($E$4+'TCO TO BE - HW'!$E$4)*SUM(AKTIVITY_POZICIE!$M$53:$M$64))/AKTIVITY_POZICIE!$B$41*12,IF((AKTIVITY_POZICIE!$B$53-12*('TCO TO BE- SW'!$D152-1))&lt;0,0,(AKTIVITY_POZICIE!$B$53-12*('TCO TO BE- SW'!$D152-1))*((U$4+'TCO TO BE - HW'!U$4)/($E$4+'TCO TO BE - HW'!$E$4)*SUM(AKTIVITY_POZICIE!$M$53:$M$64))/AKTIVITY_POZICIE!$B$53)),0)</f>
        <v>0</v>
      </c>
      <c r="V162" s="577">
        <f>IFERROR(IF((POZICIE_INTERNE!$B$52-12*('TCO TO BE- SW'!$D152-1))&gt;12,((V$4+'TCO TO BE - HW'!V$4)/($E$4+'TCO TO BE - HW'!$E$4)*SUM(POZICIE_INTERNE!$I$52:$I$63))/POZICIE_INTERNE!$B$52*12,IF((POZICIE_INTERNE!$B$52-12*('TCO TO BE- SW'!$D152-1))&lt;0,0,(POZICIE_INTERNE!$B$52-12*('TCO TO BE- SW'!$D152-1))*((V$4+'TCO TO BE - HW'!V$4)/($E$4+'TCO TO BE - HW'!$E$4)*SUM(POZICIE_INTERNE!$I$52:$I$63))/POZICIE_INTERNE!$B$52)),0)+IFERROR(IF((AKTIVITY_POZICIE!$B$53-12*('TCO TO BE- SW'!$D152-1))&gt;12,((V$4+'TCO TO BE - HW'!V$4)/($E$4+'TCO TO BE - HW'!$E$4)*SUM(AKTIVITY_POZICIE!$M$53:$M$64))/AKTIVITY_POZICIE!$B$41*12,IF((AKTIVITY_POZICIE!$B$53-12*('TCO TO BE- SW'!$D152-1))&lt;0,0,(AKTIVITY_POZICIE!$B$53-12*('TCO TO BE- SW'!$D152-1))*((V$4+'TCO TO BE - HW'!V$4)/($E$4+'TCO TO BE - HW'!$E$4)*SUM(AKTIVITY_POZICIE!$M$53:$M$64))/AKTIVITY_POZICIE!$B$53)),0)</f>
        <v>0</v>
      </c>
      <c r="W162" s="577">
        <f>IFERROR(IF((POZICIE_INTERNE!$B$52-12*('TCO TO BE- SW'!$D152-1))&gt;12,((W$4+'TCO TO BE - HW'!W$4)/($E$4+'TCO TO BE - HW'!$E$4)*SUM(POZICIE_INTERNE!$I$52:$I$63))/POZICIE_INTERNE!$B$52*12,IF((POZICIE_INTERNE!$B$52-12*('TCO TO BE- SW'!$D152-1))&lt;0,0,(POZICIE_INTERNE!$B$52-12*('TCO TO BE- SW'!$D152-1))*((W$4+'TCO TO BE - HW'!W$4)/($E$4+'TCO TO BE - HW'!$E$4)*SUM(POZICIE_INTERNE!$I$52:$I$63))/POZICIE_INTERNE!$B$52)),0)+IFERROR(IF((AKTIVITY_POZICIE!$B$53-12*('TCO TO BE- SW'!$D152-1))&gt;12,((W$4+'TCO TO BE - HW'!W$4)/($E$4+'TCO TO BE - HW'!$E$4)*SUM(AKTIVITY_POZICIE!$M$53:$M$64))/AKTIVITY_POZICIE!$B$41*12,IF((AKTIVITY_POZICIE!$B$53-12*('TCO TO BE- SW'!$D152-1))&lt;0,0,(AKTIVITY_POZICIE!$B$53-12*('TCO TO BE- SW'!$D152-1))*((W$4+'TCO TO BE - HW'!W$4)/($E$4+'TCO TO BE - HW'!$E$4)*SUM(AKTIVITY_POZICIE!$M$53:$M$64))/AKTIVITY_POZICIE!$B$53)),0)</f>
        <v>0</v>
      </c>
      <c r="X162" s="577">
        <f>IFERROR(IF((POZICIE_INTERNE!$B$52-12*('TCO TO BE- SW'!$D152-1))&gt;12,((X$4+'TCO TO BE - HW'!X$4)/($E$4+'TCO TO BE - HW'!$E$4)*SUM(POZICIE_INTERNE!$I$52:$I$63))/POZICIE_INTERNE!$B$52*12,IF((POZICIE_INTERNE!$B$52-12*('TCO TO BE- SW'!$D152-1))&lt;0,0,(POZICIE_INTERNE!$B$52-12*('TCO TO BE- SW'!$D152-1))*((X$4+'TCO TO BE - HW'!X$4)/($E$4+'TCO TO BE - HW'!$E$4)*SUM(POZICIE_INTERNE!$I$52:$I$63))/POZICIE_INTERNE!$B$52)),0)+IFERROR(IF((AKTIVITY_POZICIE!$B$53-12*('TCO TO BE- SW'!$D152-1))&gt;12,((X$4+'TCO TO BE - HW'!X$4)/($E$4+'TCO TO BE - HW'!$E$4)*SUM(AKTIVITY_POZICIE!$M$53:$M$64))/AKTIVITY_POZICIE!$B$41*12,IF((AKTIVITY_POZICIE!$B$53-12*('TCO TO BE- SW'!$D152-1))&lt;0,0,(AKTIVITY_POZICIE!$B$53-12*('TCO TO BE- SW'!$D152-1))*((X$4+'TCO TO BE - HW'!X$4)/($E$4+'TCO TO BE - HW'!$E$4)*SUM(AKTIVITY_POZICIE!$M$53:$M$64))/AKTIVITY_POZICIE!$B$53)),0)</f>
        <v>0</v>
      </c>
      <c r="Y162" s="577">
        <f>IFERROR(IF((POZICIE_INTERNE!$B$52-12*('TCO TO BE- SW'!$D152-1))&gt;12,((Y$4+'TCO TO BE - HW'!Y$4)/($E$4+'TCO TO BE - HW'!$E$4)*SUM(POZICIE_INTERNE!$I$52:$I$63))/POZICIE_INTERNE!$B$52*12,IF((POZICIE_INTERNE!$B$52-12*('TCO TO BE- SW'!$D152-1))&lt;0,0,(POZICIE_INTERNE!$B$52-12*('TCO TO BE- SW'!$D152-1))*((Y$4+'TCO TO BE - HW'!Y$4)/($E$4+'TCO TO BE - HW'!$E$4)*SUM(POZICIE_INTERNE!$I$52:$I$63))/POZICIE_INTERNE!$B$52)),0)+IFERROR(IF((AKTIVITY_POZICIE!$B$53-12*('TCO TO BE- SW'!$D152-1))&gt;12,((Y$4+'TCO TO BE - HW'!Y$4)/($E$4+'TCO TO BE - HW'!$E$4)*SUM(AKTIVITY_POZICIE!$M$53:$M$64))/AKTIVITY_POZICIE!$B$41*12,IF((AKTIVITY_POZICIE!$B$53-12*('TCO TO BE- SW'!$D152-1))&lt;0,0,(AKTIVITY_POZICIE!$B$53-12*('TCO TO BE- SW'!$D152-1))*((Y$4+'TCO TO BE - HW'!Y$4)/($E$4+'TCO TO BE - HW'!$E$4)*SUM(AKTIVITY_POZICIE!$M$53:$M$64))/AKTIVITY_POZICIE!$B$53)),0)</f>
        <v>0</v>
      </c>
      <c r="Z162" s="577">
        <f>IFERROR(IF((POZICIE_INTERNE!$B$52-12*('TCO TO BE- SW'!$D152-1))&gt;12,((Z$4+'TCO TO BE - HW'!Z$4)/($E$4+'TCO TO BE - HW'!$E$4)*SUM(POZICIE_INTERNE!$I$52:$I$63))/POZICIE_INTERNE!$B$52*12,IF((POZICIE_INTERNE!$B$52-12*('TCO TO BE- SW'!$D152-1))&lt;0,0,(POZICIE_INTERNE!$B$52-12*('TCO TO BE- SW'!$D152-1))*((Z$4+'TCO TO BE - HW'!Z$4)/($E$4+'TCO TO BE - HW'!$E$4)*SUM(POZICIE_INTERNE!$I$52:$I$63))/POZICIE_INTERNE!$B$52)),0)+IFERROR(IF((AKTIVITY_POZICIE!$B$53-12*('TCO TO BE- SW'!$D152-1))&gt;12,((Z$4+'TCO TO BE - HW'!Z$4)/($E$4+'TCO TO BE - HW'!$E$4)*SUM(AKTIVITY_POZICIE!$M$53:$M$64))/AKTIVITY_POZICIE!$B$41*12,IF((AKTIVITY_POZICIE!$B$53-12*('TCO TO BE- SW'!$D152-1))&lt;0,0,(AKTIVITY_POZICIE!$B$53-12*('TCO TO BE- SW'!$D152-1))*((Z$4+'TCO TO BE - HW'!Z$4)/($E$4+'TCO TO BE - HW'!$E$4)*SUM(AKTIVITY_POZICIE!$M$53:$M$64))/AKTIVITY_POZICIE!$B$53)),0)</f>
        <v>0</v>
      </c>
    </row>
    <row r="163" spans="1:26">
      <c r="A163" s="824"/>
      <c r="B163" s="825"/>
      <c r="C163" s="825"/>
      <c r="D163" s="64">
        <v>3</v>
      </c>
      <c r="E163" s="68">
        <f t="shared" si="16"/>
        <v>0</v>
      </c>
      <c r="F163" s="577">
        <f>IFERROR(IF((POZICIE_INTERNE!$B$52-12*('TCO TO BE- SW'!$D153-1))&gt;12,((F$4+'TCO TO BE - HW'!F$4)/($E$4+'TCO TO BE - HW'!$E$4)*SUM(POZICIE_INTERNE!$I$52:$I$63))/POZICIE_INTERNE!$B$52*12,IF((POZICIE_INTERNE!$B$52-12*('TCO TO BE- SW'!$D153-1))&lt;0,0,(POZICIE_INTERNE!$B$52-12*('TCO TO BE- SW'!$D153-1))*((F$4+'TCO TO BE - HW'!F$4)/($E$4+'TCO TO BE - HW'!$E$4)*SUM(POZICIE_INTERNE!$I$52:$I$63))/POZICIE_INTERNE!$B$52)),0)+IFERROR(IF((AKTIVITY_POZICIE!$B$53-12*('TCO TO BE- SW'!$D153-1))&gt;12,((F$4+'TCO TO BE - HW'!F$4)/($E$4+'TCO TO BE - HW'!$E$4)*SUM(AKTIVITY_POZICIE!$M$53:$M$64))/AKTIVITY_POZICIE!$B$41*12,IF((AKTIVITY_POZICIE!$B$53-12*('TCO TO BE- SW'!$D153-1))&lt;0,0,(AKTIVITY_POZICIE!$B$53-12*('TCO TO BE- SW'!$D153-1))*((F$4+'TCO TO BE - HW'!F$4)/($E$4+'TCO TO BE - HW'!$E$4)*SUM(AKTIVITY_POZICIE!$M$53:$M$64))/AKTIVITY_POZICIE!$B$53)),0)</f>
        <v>0</v>
      </c>
      <c r="G163" s="577">
        <f>IFERROR(IF((POZICIE_INTERNE!$B$52-12*('TCO TO BE- SW'!$D153-1))&gt;12,((G$4+'TCO TO BE - HW'!G$4)/($E$4+'TCO TO BE - HW'!$E$4)*SUM(POZICIE_INTERNE!$I$52:$I$63))/POZICIE_INTERNE!$B$52*12,IF((POZICIE_INTERNE!$B$52-12*('TCO TO BE- SW'!$D153-1))&lt;0,0,(POZICIE_INTERNE!$B$52-12*('TCO TO BE- SW'!$D153-1))*((G$4+'TCO TO BE - HW'!G$4)/($E$4+'TCO TO BE - HW'!$E$4)*SUM(POZICIE_INTERNE!$I$52:$I$63))/POZICIE_INTERNE!$B$52)),0)+IFERROR(IF((AKTIVITY_POZICIE!$B$53-12*('TCO TO BE- SW'!$D153-1))&gt;12,((G$4+'TCO TO BE - HW'!G$4)/($E$4+'TCO TO BE - HW'!$E$4)*SUM(AKTIVITY_POZICIE!$M$53:$M$64))/AKTIVITY_POZICIE!$B$41*12,IF((AKTIVITY_POZICIE!$B$53-12*('TCO TO BE- SW'!$D153-1))&lt;0,0,(AKTIVITY_POZICIE!$B$53-12*('TCO TO BE- SW'!$D153-1))*((G$4+'TCO TO BE - HW'!G$4)/($E$4+'TCO TO BE - HW'!$E$4)*SUM(AKTIVITY_POZICIE!$M$53:$M$64))/AKTIVITY_POZICIE!$B$53)),0)</f>
        <v>0</v>
      </c>
      <c r="H163" s="577">
        <f>IFERROR(IF((POZICIE_INTERNE!$B$52-12*('TCO TO BE- SW'!$D153-1))&gt;12,((H$4+'TCO TO BE - HW'!H$4)/($E$4+'TCO TO BE - HW'!$E$4)*SUM(POZICIE_INTERNE!$I$52:$I$63))/POZICIE_INTERNE!$B$52*12,IF((POZICIE_INTERNE!$B$52-12*('TCO TO BE- SW'!$D153-1))&lt;0,0,(POZICIE_INTERNE!$B$52-12*('TCO TO BE- SW'!$D153-1))*((H$4+'TCO TO BE - HW'!H$4)/($E$4+'TCO TO BE - HW'!$E$4)*SUM(POZICIE_INTERNE!$I$52:$I$63))/POZICIE_INTERNE!$B$52)),0)+IFERROR(IF((AKTIVITY_POZICIE!$B$53-12*('TCO TO BE- SW'!$D153-1))&gt;12,((H$4+'TCO TO BE - HW'!H$4)/($E$4+'TCO TO BE - HW'!$E$4)*SUM(AKTIVITY_POZICIE!$M$53:$M$64))/AKTIVITY_POZICIE!$B$41*12,IF((AKTIVITY_POZICIE!$B$53-12*('TCO TO BE- SW'!$D153-1))&lt;0,0,(AKTIVITY_POZICIE!$B$53-12*('TCO TO BE- SW'!$D153-1))*((H$4+'TCO TO BE - HW'!H$4)/($E$4+'TCO TO BE - HW'!$E$4)*SUM(AKTIVITY_POZICIE!$M$53:$M$64))/AKTIVITY_POZICIE!$B$53)),0)</f>
        <v>0</v>
      </c>
      <c r="I163" s="577">
        <f>IFERROR(IF((POZICIE_INTERNE!$B$52-12*('TCO TO BE- SW'!$D153-1))&gt;12,((I$4+'TCO TO BE - HW'!I$4)/($E$4+'TCO TO BE - HW'!$E$4)*SUM(POZICIE_INTERNE!$I$52:$I$63))/POZICIE_INTERNE!$B$52*12,IF((POZICIE_INTERNE!$B$52-12*('TCO TO BE- SW'!$D153-1))&lt;0,0,(POZICIE_INTERNE!$B$52-12*('TCO TO BE- SW'!$D153-1))*((I$4+'TCO TO BE - HW'!I$4)/($E$4+'TCO TO BE - HW'!$E$4)*SUM(POZICIE_INTERNE!$I$52:$I$63))/POZICIE_INTERNE!$B$52)),0)+IFERROR(IF((AKTIVITY_POZICIE!$B$53-12*('TCO TO BE- SW'!$D153-1))&gt;12,((I$4+'TCO TO BE - HW'!I$4)/($E$4+'TCO TO BE - HW'!$E$4)*SUM(AKTIVITY_POZICIE!$M$53:$M$64))/AKTIVITY_POZICIE!$B$41*12,IF((AKTIVITY_POZICIE!$B$53-12*('TCO TO BE- SW'!$D153-1))&lt;0,0,(AKTIVITY_POZICIE!$B$53-12*('TCO TO BE- SW'!$D153-1))*((I$4+'TCO TO BE - HW'!I$4)/($E$4+'TCO TO BE - HW'!$E$4)*SUM(AKTIVITY_POZICIE!$M$53:$M$64))/AKTIVITY_POZICIE!$B$53)),0)</f>
        <v>0</v>
      </c>
      <c r="J163" s="577">
        <f>IFERROR(IF((POZICIE_INTERNE!$B$52-12*('TCO TO BE- SW'!$D153-1))&gt;12,((J$4+'TCO TO BE - HW'!J$4)/($E$4+'TCO TO BE - HW'!$E$4)*SUM(POZICIE_INTERNE!$I$52:$I$63))/POZICIE_INTERNE!$B$52*12,IF((POZICIE_INTERNE!$B$52-12*('TCO TO BE- SW'!$D153-1))&lt;0,0,(POZICIE_INTERNE!$B$52-12*('TCO TO BE- SW'!$D153-1))*((J$4+'TCO TO BE - HW'!J$4)/($E$4+'TCO TO BE - HW'!$E$4)*SUM(POZICIE_INTERNE!$I$52:$I$63))/POZICIE_INTERNE!$B$52)),0)+IFERROR(IF((AKTIVITY_POZICIE!$B$53-12*('TCO TO BE- SW'!$D153-1))&gt;12,((J$4+'TCO TO BE - HW'!J$4)/($E$4+'TCO TO BE - HW'!$E$4)*SUM(AKTIVITY_POZICIE!$M$53:$M$64))/AKTIVITY_POZICIE!$B$41*12,IF((AKTIVITY_POZICIE!$B$53-12*('TCO TO BE- SW'!$D153-1))&lt;0,0,(AKTIVITY_POZICIE!$B$53-12*('TCO TO BE- SW'!$D153-1))*((J$4+'TCO TO BE - HW'!J$4)/($E$4+'TCO TO BE - HW'!$E$4)*SUM(AKTIVITY_POZICIE!$M$53:$M$64))/AKTIVITY_POZICIE!$B$53)),0)</f>
        <v>0</v>
      </c>
      <c r="K163" s="577">
        <f>IFERROR(IF((POZICIE_INTERNE!$B$52-12*('TCO TO BE- SW'!$D153-1))&gt;12,((K$4+'TCO TO BE - HW'!K$4)/($E$4+'TCO TO BE - HW'!$E$4)*SUM(POZICIE_INTERNE!$I$52:$I$63))/POZICIE_INTERNE!$B$52*12,IF((POZICIE_INTERNE!$B$52-12*('TCO TO BE- SW'!$D153-1))&lt;0,0,(POZICIE_INTERNE!$B$52-12*('TCO TO BE- SW'!$D153-1))*((K$4+'TCO TO BE - HW'!K$4)/($E$4+'TCO TO BE - HW'!$E$4)*SUM(POZICIE_INTERNE!$I$52:$I$63))/POZICIE_INTERNE!$B$52)),0)+IFERROR(IF((AKTIVITY_POZICIE!$B$53-12*('TCO TO BE- SW'!$D153-1))&gt;12,((K$4+'TCO TO BE - HW'!K$4)/($E$4+'TCO TO BE - HW'!$E$4)*SUM(AKTIVITY_POZICIE!$M$53:$M$64))/AKTIVITY_POZICIE!$B$41*12,IF((AKTIVITY_POZICIE!$B$53-12*('TCO TO BE- SW'!$D153-1))&lt;0,0,(AKTIVITY_POZICIE!$B$53-12*('TCO TO BE- SW'!$D153-1))*((K$4+'TCO TO BE - HW'!K$4)/($E$4+'TCO TO BE - HW'!$E$4)*SUM(AKTIVITY_POZICIE!$M$53:$M$64))/AKTIVITY_POZICIE!$B$53)),0)</f>
        <v>0</v>
      </c>
      <c r="L163" s="577">
        <f>IFERROR(IF((POZICIE_INTERNE!$B$52-12*('TCO TO BE- SW'!$D153-1))&gt;12,((L$4+'TCO TO BE - HW'!L$4)/($E$4+'TCO TO BE - HW'!$E$4)*SUM(POZICIE_INTERNE!$I$52:$I$63))/POZICIE_INTERNE!$B$52*12,IF((POZICIE_INTERNE!$B$52-12*('TCO TO BE- SW'!$D153-1))&lt;0,0,(POZICIE_INTERNE!$B$52-12*('TCO TO BE- SW'!$D153-1))*((L$4+'TCO TO BE - HW'!L$4)/($E$4+'TCO TO BE - HW'!$E$4)*SUM(POZICIE_INTERNE!$I$52:$I$63))/POZICIE_INTERNE!$B$52)),0)+IFERROR(IF((AKTIVITY_POZICIE!$B$53-12*('TCO TO BE- SW'!$D153-1))&gt;12,((L$4+'TCO TO BE - HW'!L$4)/($E$4+'TCO TO BE - HW'!$E$4)*SUM(AKTIVITY_POZICIE!$M$53:$M$64))/AKTIVITY_POZICIE!$B$41*12,IF((AKTIVITY_POZICIE!$B$53-12*('TCO TO BE- SW'!$D153-1))&lt;0,0,(AKTIVITY_POZICIE!$B$53-12*('TCO TO BE- SW'!$D153-1))*((L$4+'TCO TO BE - HW'!L$4)/($E$4+'TCO TO BE - HW'!$E$4)*SUM(AKTIVITY_POZICIE!$M$53:$M$64))/AKTIVITY_POZICIE!$B$53)),0)</f>
        <v>0</v>
      </c>
      <c r="M163" s="577">
        <f>IFERROR(IF((POZICIE_INTERNE!$B$52-12*('TCO TO BE- SW'!$D153-1))&gt;12,((M$4+'TCO TO BE - HW'!M$4)/($E$4+'TCO TO BE - HW'!$E$4)*SUM(POZICIE_INTERNE!$I$52:$I$63))/POZICIE_INTERNE!$B$52*12,IF((POZICIE_INTERNE!$B$52-12*('TCO TO BE- SW'!$D153-1))&lt;0,0,(POZICIE_INTERNE!$B$52-12*('TCO TO BE- SW'!$D153-1))*((M$4+'TCO TO BE - HW'!M$4)/($E$4+'TCO TO BE - HW'!$E$4)*SUM(POZICIE_INTERNE!$I$52:$I$63))/POZICIE_INTERNE!$B$52)),0)+IFERROR(IF((AKTIVITY_POZICIE!$B$53-12*('TCO TO BE- SW'!$D153-1))&gt;12,((M$4+'TCO TO BE - HW'!M$4)/($E$4+'TCO TO BE - HW'!$E$4)*SUM(AKTIVITY_POZICIE!$M$53:$M$64))/AKTIVITY_POZICIE!$B$41*12,IF((AKTIVITY_POZICIE!$B$53-12*('TCO TO BE- SW'!$D153-1))&lt;0,0,(AKTIVITY_POZICIE!$B$53-12*('TCO TO BE- SW'!$D153-1))*((M$4+'TCO TO BE - HW'!M$4)/($E$4+'TCO TO BE - HW'!$E$4)*SUM(AKTIVITY_POZICIE!$M$53:$M$64))/AKTIVITY_POZICIE!$B$53)),0)</f>
        <v>0</v>
      </c>
      <c r="N163" s="577">
        <f>IFERROR(IF((POZICIE_INTERNE!$B$52-12*('TCO TO BE- SW'!$D153-1))&gt;12,((N$4+'TCO TO BE - HW'!N$4)/($E$4+'TCO TO BE - HW'!$E$4)*SUM(POZICIE_INTERNE!$I$52:$I$63))/POZICIE_INTERNE!$B$52*12,IF((POZICIE_INTERNE!$B$52-12*('TCO TO BE- SW'!$D153-1))&lt;0,0,(POZICIE_INTERNE!$B$52-12*('TCO TO BE- SW'!$D153-1))*((N$4+'TCO TO BE - HW'!N$4)/($E$4+'TCO TO BE - HW'!$E$4)*SUM(POZICIE_INTERNE!$I$52:$I$63))/POZICIE_INTERNE!$B$52)),0)+IFERROR(IF((AKTIVITY_POZICIE!$B$53-12*('TCO TO BE- SW'!$D153-1))&gt;12,((N$4+'TCO TO BE - HW'!N$4)/($E$4+'TCO TO BE - HW'!$E$4)*SUM(AKTIVITY_POZICIE!$M$53:$M$64))/AKTIVITY_POZICIE!$B$41*12,IF((AKTIVITY_POZICIE!$B$53-12*('TCO TO BE- SW'!$D153-1))&lt;0,0,(AKTIVITY_POZICIE!$B$53-12*('TCO TO BE- SW'!$D153-1))*((N$4+'TCO TO BE - HW'!N$4)/($E$4+'TCO TO BE - HW'!$E$4)*SUM(AKTIVITY_POZICIE!$M$53:$M$64))/AKTIVITY_POZICIE!$B$53)),0)</f>
        <v>0</v>
      </c>
      <c r="O163" s="577">
        <f>IFERROR(IF((POZICIE_INTERNE!$B$52-12*('TCO TO BE- SW'!$D153-1))&gt;12,((O$4+'TCO TO BE - HW'!O$4)/($E$4+'TCO TO BE - HW'!$E$4)*SUM(POZICIE_INTERNE!$I$52:$I$63))/POZICIE_INTERNE!$B$52*12,IF((POZICIE_INTERNE!$B$52-12*('TCO TO BE- SW'!$D153-1))&lt;0,0,(POZICIE_INTERNE!$B$52-12*('TCO TO BE- SW'!$D153-1))*((O$4+'TCO TO BE - HW'!O$4)/($E$4+'TCO TO BE - HW'!$E$4)*SUM(POZICIE_INTERNE!$I$52:$I$63))/POZICIE_INTERNE!$B$52)),0)+IFERROR(IF((AKTIVITY_POZICIE!$B$53-12*('TCO TO BE- SW'!$D153-1))&gt;12,((O$4+'TCO TO BE - HW'!O$4)/($E$4+'TCO TO BE - HW'!$E$4)*SUM(AKTIVITY_POZICIE!$M$53:$M$64))/AKTIVITY_POZICIE!$B$41*12,IF((AKTIVITY_POZICIE!$B$53-12*('TCO TO BE- SW'!$D153-1))&lt;0,0,(AKTIVITY_POZICIE!$B$53-12*('TCO TO BE- SW'!$D153-1))*((O$4+'TCO TO BE - HW'!O$4)/($E$4+'TCO TO BE - HW'!$E$4)*SUM(AKTIVITY_POZICIE!$M$53:$M$64))/AKTIVITY_POZICIE!$B$53)),0)</f>
        <v>0</v>
      </c>
      <c r="P163" s="577">
        <f>IFERROR(IF((POZICIE_INTERNE!$B$52-12*('TCO TO BE- SW'!$D153-1))&gt;12,((P$4+'TCO TO BE - HW'!P$4)/($E$4+'TCO TO BE - HW'!$E$4)*SUM(POZICIE_INTERNE!$I$52:$I$63))/POZICIE_INTERNE!$B$52*12,IF((POZICIE_INTERNE!$B$52-12*('TCO TO BE- SW'!$D153-1))&lt;0,0,(POZICIE_INTERNE!$B$52-12*('TCO TO BE- SW'!$D153-1))*((P$4+'TCO TO BE - HW'!P$4)/($E$4+'TCO TO BE - HW'!$E$4)*SUM(POZICIE_INTERNE!$I$52:$I$63))/POZICIE_INTERNE!$B$52)),0)+IFERROR(IF((AKTIVITY_POZICIE!$B$53-12*('TCO TO BE- SW'!$D153-1))&gt;12,((P$4+'TCO TO BE - HW'!P$4)/($E$4+'TCO TO BE - HW'!$E$4)*SUM(AKTIVITY_POZICIE!$M$53:$M$64))/AKTIVITY_POZICIE!$B$41*12,IF((AKTIVITY_POZICIE!$B$53-12*('TCO TO BE- SW'!$D153-1))&lt;0,0,(AKTIVITY_POZICIE!$B$53-12*('TCO TO BE- SW'!$D153-1))*((P$4+'TCO TO BE - HW'!P$4)/($E$4+'TCO TO BE - HW'!$E$4)*SUM(AKTIVITY_POZICIE!$M$53:$M$64))/AKTIVITY_POZICIE!$B$53)),0)</f>
        <v>0</v>
      </c>
      <c r="Q163" s="577">
        <f>IFERROR(IF((POZICIE_INTERNE!$B$52-12*('TCO TO BE- SW'!$D153-1))&gt;12,((Q$4+'TCO TO BE - HW'!Q$4)/($E$4+'TCO TO BE - HW'!$E$4)*SUM(POZICIE_INTERNE!$I$52:$I$63))/POZICIE_INTERNE!$B$52*12,IF((POZICIE_INTERNE!$B$52-12*('TCO TO BE- SW'!$D153-1))&lt;0,0,(POZICIE_INTERNE!$B$52-12*('TCO TO BE- SW'!$D153-1))*((Q$4+'TCO TO BE - HW'!Q$4)/($E$4+'TCO TO BE - HW'!$E$4)*SUM(POZICIE_INTERNE!$I$52:$I$63))/POZICIE_INTERNE!$B$52)),0)+IFERROR(IF((AKTIVITY_POZICIE!$B$53-12*('TCO TO BE- SW'!$D153-1))&gt;12,((Q$4+'TCO TO BE - HW'!Q$4)/($E$4+'TCO TO BE - HW'!$E$4)*SUM(AKTIVITY_POZICIE!$M$53:$M$64))/AKTIVITY_POZICIE!$B$41*12,IF((AKTIVITY_POZICIE!$B$53-12*('TCO TO BE- SW'!$D153-1))&lt;0,0,(AKTIVITY_POZICIE!$B$53-12*('TCO TO BE- SW'!$D153-1))*((Q$4+'TCO TO BE - HW'!Q$4)/($E$4+'TCO TO BE - HW'!$E$4)*SUM(AKTIVITY_POZICIE!$M$53:$M$64))/AKTIVITY_POZICIE!$B$53)),0)</f>
        <v>0</v>
      </c>
      <c r="R163" s="577">
        <f>IFERROR(IF((POZICIE_INTERNE!$B$52-12*('TCO TO BE- SW'!$D153-1))&gt;12,((R$4+'TCO TO BE - HW'!R$4)/($E$4+'TCO TO BE - HW'!$E$4)*SUM(POZICIE_INTERNE!$I$52:$I$63))/POZICIE_INTERNE!$B$52*12,IF((POZICIE_INTERNE!$B$52-12*('TCO TO BE- SW'!$D153-1))&lt;0,0,(POZICIE_INTERNE!$B$52-12*('TCO TO BE- SW'!$D153-1))*((R$4+'TCO TO BE - HW'!R$4)/($E$4+'TCO TO BE - HW'!$E$4)*SUM(POZICIE_INTERNE!$I$52:$I$63))/POZICIE_INTERNE!$B$52)),0)+IFERROR(IF((AKTIVITY_POZICIE!$B$53-12*('TCO TO BE- SW'!$D153-1))&gt;12,((R$4+'TCO TO BE - HW'!R$4)/($E$4+'TCO TO BE - HW'!$E$4)*SUM(AKTIVITY_POZICIE!$M$53:$M$64))/AKTIVITY_POZICIE!$B$41*12,IF((AKTIVITY_POZICIE!$B$53-12*('TCO TO BE- SW'!$D153-1))&lt;0,0,(AKTIVITY_POZICIE!$B$53-12*('TCO TO BE- SW'!$D153-1))*((R$4+'TCO TO BE - HW'!R$4)/($E$4+'TCO TO BE - HW'!$E$4)*SUM(AKTIVITY_POZICIE!$M$53:$M$64))/AKTIVITY_POZICIE!$B$53)),0)</f>
        <v>0</v>
      </c>
      <c r="S163" s="577">
        <f>IFERROR(IF((POZICIE_INTERNE!$B$52-12*('TCO TO BE- SW'!$D153-1))&gt;12,((S$4+'TCO TO BE - HW'!S$4)/($E$4+'TCO TO BE - HW'!$E$4)*SUM(POZICIE_INTERNE!$I$52:$I$63))/POZICIE_INTERNE!$B$52*12,IF((POZICIE_INTERNE!$B$52-12*('TCO TO BE- SW'!$D153-1))&lt;0,0,(POZICIE_INTERNE!$B$52-12*('TCO TO BE- SW'!$D153-1))*((S$4+'TCO TO BE - HW'!S$4)/($E$4+'TCO TO BE - HW'!$E$4)*SUM(POZICIE_INTERNE!$I$52:$I$63))/POZICIE_INTERNE!$B$52)),0)+IFERROR(IF((AKTIVITY_POZICIE!$B$53-12*('TCO TO BE- SW'!$D153-1))&gt;12,((S$4+'TCO TO BE - HW'!S$4)/($E$4+'TCO TO BE - HW'!$E$4)*SUM(AKTIVITY_POZICIE!$M$53:$M$64))/AKTIVITY_POZICIE!$B$41*12,IF((AKTIVITY_POZICIE!$B$53-12*('TCO TO BE- SW'!$D153-1))&lt;0,0,(AKTIVITY_POZICIE!$B$53-12*('TCO TO BE- SW'!$D153-1))*((S$4+'TCO TO BE - HW'!S$4)/($E$4+'TCO TO BE - HW'!$E$4)*SUM(AKTIVITY_POZICIE!$M$53:$M$64))/AKTIVITY_POZICIE!$B$53)),0)</f>
        <v>0</v>
      </c>
      <c r="T163" s="577">
        <f>IFERROR(IF((POZICIE_INTERNE!$B$52-12*('TCO TO BE- SW'!$D153-1))&gt;12,((T$4+'TCO TO BE - HW'!T$4)/($E$4+'TCO TO BE - HW'!$E$4)*SUM(POZICIE_INTERNE!$I$52:$I$63))/POZICIE_INTERNE!$B$52*12,IF((POZICIE_INTERNE!$B$52-12*('TCO TO BE- SW'!$D153-1))&lt;0,0,(POZICIE_INTERNE!$B$52-12*('TCO TO BE- SW'!$D153-1))*((T$4+'TCO TO BE - HW'!T$4)/($E$4+'TCO TO BE - HW'!$E$4)*SUM(POZICIE_INTERNE!$I$52:$I$63))/POZICIE_INTERNE!$B$52)),0)+IFERROR(IF((AKTIVITY_POZICIE!$B$53-12*('TCO TO BE- SW'!$D153-1))&gt;12,((T$4+'TCO TO BE - HW'!T$4)/($E$4+'TCO TO BE - HW'!$E$4)*SUM(AKTIVITY_POZICIE!$M$53:$M$64))/AKTIVITY_POZICIE!$B$41*12,IF((AKTIVITY_POZICIE!$B$53-12*('TCO TO BE- SW'!$D153-1))&lt;0,0,(AKTIVITY_POZICIE!$B$53-12*('TCO TO BE- SW'!$D153-1))*((T$4+'TCO TO BE - HW'!T$4)/($E$4+'TCO TO BE - HW'!$E$4)*SUM(AKTIVITY_POZICIE!$M$53:$M$64))/AKTIVITY_POZICIE!$B$53)),0)</f>
        <v>0</v>
      </c>
      <c r="U163" s="577">
        <f>IFERROR(IF((POZICIE_INTERNE!$B$52-12*('TCO TO BE- SW'!$D153-1))&gt;12,((U$4+'TCO TO BE - HW'!U$4)/($E$4+'TCO TO BE - HW'!$E$4)*SUM(POZICIE_INTERNE!$I$52:$I$63))/POZICIE_INTERNE!$B$52*12,IF((POZICIE_INTERNE!$B$52-12*('TCO TO BE- SW'!$D153-1))&lt;0,0,(POZICIE_INTERNE!$B$52-12*('TCO TO BE- SW'!$D153-1))*((U$4+'TCO TO BE - HW'!U$4)/($E$4+'TCO TO BE - HW'!$E$4)*SUM(POZICIE_INTERNE!$I$52:$I$63))/POZICIE_INTERNE!$B$52)),0)+IFERROR(IF((AKTIVITY_POZICIE!$B$53-12*('TCO TO BE- SW'!$D153-1))&gt;12,((U$4+'TCO TO BE - HW'!U$4)/($E$4+'TCO TO BE - HW'!$E$4)*SUM(AKTIVITY_POZICIE!$M$53:$M$64))/AKTIVITY_POZICIE!$B$41*12,IF((AKTIVITY_POZICIE!$B$53-12*('TCO TO BE- SW'!$D153-1))&lt;0,0,(AKTIVITY_POZICIE!$B$53-12*('TCO TO BE- SW'!$D153-1))*((U$4+'TCO TO BE - HW'!U$4)/($E$4+'TCO TO BE - HW'!$E$4)*SUM(AKTIVITY_POZICIE!$M$53:$M$64))/AKTIVITY_POZICIE!$B$53)),0)</f>
        <v>0</v>
      </c>
      <c r="V163" s="577">
        <f>IFERROR(IF((POZICIE_INTERNE!$B$52-12*('TCO TO BE- SW'!$D153-1))&gt;12,((V$4+'TCO TO BE - HW'!V$4)/($E$4+'TCO TO BE - HW'!$E$4)*SUM(POZICIE_INTERNE!$I$52:$I$63))/POZICIE_INTERNE!$B$52*12,IF((POZICIE_INTERNE!$B$52-12*('TCO TO BE- SW'!$D153-1))&lt;0,0,(POZICIE_INTERNE!$B$52-12*('TCO TO BE- SW'!$D153-1))*((V$4+'TCO TO BE - HW'!V$4)/($E$4+'TCO TO BE - HW'!$E$4)*SUM(POZICIE_INTERNE!$I$52:$I$63))/POZICIE_INTERNE!$B$52)),0)+IFERROR(IF((AKTIVITY_POZICIE!$B$53-12*('TCO TO BE- SW'!$D153-1))&gt;12,((V$4+'TCO TO BE - HW'!V$4)/($E$4+'TCO TO BE - HW'!$E$4)*SUM(AKTIVITY_POZICIE!$M$53:$M$64))/AKTIVITY_POZICIE!$B$41*12,IF((AKTIVITY_POZICIE!$B$53-12*('TCO TO BE- SW'!$D153-1))&lt;0,0,(AKTIVITY_POZICIE!$B$53-12*('TCO TO BE- SW'!$D153-1))*((V$4+'TCO TO BE - HW'!V$4)/($E$4+'TCO TO BE - HW'!$E$4)*SUM(AKTIVITY_POZICIE!$M$53:$M$64))/AKTIVITY_POZICIE!$B$53)),0)</f>
        <v>0</v>
      </c>
      <c r="W163" s="577">
        <f>IFERROR(IF((POZICIE_INTERNE!$B$52-12*('TCO TO BE- SW'!$D153-1))&gt;12,((W$4+'TCO TO BE - HW'!W$4)/($E$4+'TCO TO BE - HW'!$E$4)*SUM(POZICIE_INTERNE!$I$52:$I$63))/POZICIE_INTERNE!$B$52*12,IF((POZICIE_INTERNE!$B$52-12*('TCO TO BE- SW'!$D153-1))&lt;0,0,(POZICIE_INTERNE!$B$52-12*('TCO TO BE- SW'!$D153-1))*((W$4+'TCO TO BE - HW'!W$4)/($E$4+'TCO TO BE - HW'!$E$4)*SUM(POZICIE_INTERNE!$I$52:$I$63))/POZICIE_INTERNE!$B$52)),0)+IFERROR(IF((AKTIVITY_POZICIE!$B$53-12*('TCO TO BE- SW'!$D153-1))&gt;12,((W$4+'TCO TO BE - HW'!W$4)/($E$4+'TCO TO BE - HW'!$E$4)*SUM(AKTIVITY_POZICIE!$M$53:$M$64))/AKTIVITY_POZICIE!$B$41*12,IF((AKTIVITY_POZICIE!$B$53-12*('TCO TO BE- SW'!$D153-1))&lt;0,0,(AKTIVITY_POZICIE!$B$53-12*('TCO TO BE- SW'!$D153-1))*((W$4+'TCO TO BE - HW'!W$4)/($E$4+'TCO TO BE - HW'!$E$4)*SUM(AKTIVITY_POZICIE!$M$53:$M$64))/AKTIVITY_POZICIE!$B$53)),0)</f>
        <v>0</v>
      </c>
      <c r="X163" s="577">
        <f>IFERROR(IF((POZICIE_INTERNE!$B$52-12*('TCO TO BE- SW'!$D153-1))&gt;12,((X$4+'TCO TO BE - HW'!X$4)/($E$4+'TCO TO BE - HW'!$E$4)*SUM(POZICIE_INTERNE!$I$52:$I$63))/POZICIE_INTERNE!$B$52*12,IF((POZICIE_INTERNE!$B$52-12*('TCO TO BE- SW'!$D153-1))&lt;0,0,(POZICIE_INTERNE!$B$52-12*('TCO TO BE- SW'!$D153-1))*((X$4+'TCO TO BE - HW'!X$4)/($E$4+'TCO TO BE - HW'!$E$4)*SUM(POZICIE_INTERNE!$I$52:$I$63))/POZICIE_INTERNE!$B$52)),0)+IFERROR(IF((AKTIVITY_POZICIE!$B$53-12*('TCO TO BE- SW'!$D153-1))&gt;12,((X$4+'TCO TO BE - HW'!X$4)/($E$4+'TCO TO BE - HW'!$E$4)*SUM(AKTIVITY_POZICIE!$M$53:$M$64))/AKTIVITY_POZICIE!$B$41*12,IF((AKTIVITY_POZICIE!$B$53-12*('TCO TO BE- SW'!$D153-1))&lt;0,0,(AKTIVITY_POZICIE!$B$53-12*('TCO TO BE- SW'!$D153-1))*((X$4+'TCO TO BE - HW'!X$4)/($E$4+'TCO TO BE - HW'!$E$4)*SUM(AKTIVITY_POZICIE!$M$53:$M$64))/AKTIVITY_POZICIE!$B$53)),0)</f>
        <v>0</v>
      </c>
      <c r="Y163" s="577">
        <f>IFERROR(IF((POZICIE_INTERNE!$B$52-12*('TCO TO BE- SW'!$D153-1))&gt;12,((Y$4+'TCO TO BE - HW'!Y$4)/($E$4+'TCO TO BE - HW'!$E$4)*SUM(POZICIE_INTERNE!$I$52:$I$63))/POZICIE_INTERNE!$B$52*12,IF((POZICIE_INTERNE!$B$52-12*('TCO TO BE- SW'!$D153-1))&lt;0,0,(POZICIE_INTERNE!$B$52-12*('TCO TO BE- SW'!$D153-1))*((Y$4+'TCO TO BE - HW'!Y$4)/($E$4+'TCO TO BE - HW'!$E$4)*SUM(POZICIE_INTERNE!$I$52:$I$63))/POZICIE_INTERNE!$B$52)),0)+IFERROR(IF((AKTIVITY_POZICIE!$B$53-12*('TCO TO BE- SW'!$D153-1))&gt;12,((Y$4+'TCO TO BE - HW'!Y$4)/($E$4+'TCO TO BE - HW'!$E$4)*SUM(AKTIVITY_POZICIE!$M$53:$M$64))/AKTIVITY_POZICIE!$B$41*12,IF((AKTIVITY_POZICIE!$B$53-12*('TCO TO BE- SW'!$D153-1))&lt;0,0,(AKTIVITY_POZICIE!$B$53-12*('TCO TO BE- SW'!$D153-1))*((Y$4+'TCO TO BE - HW'!Y$4)/($E$4+'TCO TO BE - HW'!$E$4)*SUM(AKTIVITY_POZICIE!$M$53:$M$64))/AKTIVITY_POZICIE!$B$53)),0)</f>
        <v>0</v>
      </c>
      <c r="Z163" s="577">
        <f>IFERROR(IF((POZICIE_INTERNE!$B$52-12*('TCO TO BE- SW'!$D153-1))&gt;12,((Z$4+'TCO TO BE - HW'!Z$4)/($E$4+'TCO TO BE - HW'!$E$4)*SUM(POZICIE_INTERNE!$I$52:$I$63))/POZICIE_INTERNE!$B$52*12,IF((POZICIE_INTERNE!$B$52-12*('TCO TO BE- SW'!$D153-1))&lt;0,0,(POZICIE_INTERNE!$B$52-12*('TCO TO BE- SW'!$D153-1))*((Z$4+'TCO TO BE - HW'!Z$4)/($E$4+'TCO TO BE - HW'!$E$4)*SUM(POZICIE_INTERNE!$I$52:$I$63))/POZICIE_INTERNE!$B$52)),0)+IFERROR(IF((AKTIVITY_POZICIE!$B$53-12*('TCO TO BE- SW'!$D153-1))&gt;12,((Z$4+'TCO TO BE - HW'!Z$4)/($E$4+'TCO TO BE - HW'!$E$4)*SUM(AKTIVITY_POZICIE!$M$53:$M$64))/AKTIVITY_POZICIE!$B$41*12,IF((AKTIVITY_POZICIE!$B$53-12*('TCO TO BE- SW'!$D153-1))&lt;0,0,(AKTIVITY_POZICIE!$B$53-12*('TCO TO BE- SW'!$D153-1))*((Z$4+'TCO TO BE - HW'!Z$4)/($E$4+'TCO TO BE - HW'!$E$4)*SUM(AKTIVITY_POZICIE!$M$53:$M$64))/AKTIVITY_POZICIE!$B$53)),0)</f>
        <v>0</v>
      </c>
    </row>
    <row r="164" spans="1:26">
      <c r="A164" s="824"/>
      <c r="B164" s="825"/>
      <c r="C164" s="825"/>
      <c r="D164" s="64">
        <v>4</v>
      </c>
      <c r="E164" s="68">
        <f t="shared" si="16"/>
        <v>0</v>
      </c>
      <c r="F164" s="577">
        <f>IFERROR(IF((POZICIE_INTERNE!$B$52-12*('TCO TO BE- SW'!$D154-1))&gt;12,((F$4+'TCO TO BE - HW'!F$4)/($E$4+'TCO TO BE - HW'!$E$4)*SUM(POZICIE_INTERNE!$I$52:$I$63))/POZICIE_INTERNE!$B$52*12,IF((POZICIE_INTERNE!$B$52-12*('TCO TO BE- SW'!$D154-1))&lt;0,0,(POZICIE_INTERNE!$B$52-12*('TCO TO BE- SW'!$D154-1))*((F$4+'TCO TO BE - HW'!F$4)/($E$4+'TCO TO BE - HW'!$E$4)*SUM(POZICIE_INTERNE!$I$52:$I$63))/POZICIE_INTERNE!$B$52)),0)+IFERROR(IF((AKTIVITY_POZICIE!$B$53-12*('TCO TO BE- SW'!$D154-1))&gt;12,((F$4+'TCO TO BE - HW'!F$4)/($E$4+'TCO TO BE - HW'!$E$4)*SUM(AKTIVITY_POZICIE!$M$53:$M$64))/AKTIVITY_POZICIE!$B$41*12,IF((AKTIVITY_POZICIE!$B$53-12*('TCO TO BE- SW'!$D154-1))&lt;0,0,(AKTIVITY_POZICIE!$B$53-12*('TCO TO BE- SW'!$D154-1))*((F$4+'TCO TO BE - HW'!F$4)/($E$4+'TCO TO BE - HW'!$E$4)*SUM(AKTIVITY_POZICIE!$M$53:$M$64))/AKTIVITY_POZICIE!$B$53)),0)</f>
        <v>0</v>
      </c>
      <c r="G164" s="577">
        <f>IFERROR(IF((POZICIE_INTERNE!$B$52-12*('TCO TO BE- SW'!$D154-1))&gt;12,((G$4+'TCO TO BE - HW'!G$4)/($E$4+'TCO TO BE - HW'!$E$4)*SUM(POZICIE_INTERNE!$I$52:$I$63))/POZICIE_INTERNE!$B$52*12,IF((POZICIE_INTERNE!$B$52-12*('TCO TO BE- SW'!$D154-1))&lt;0,0,(POZICIE_INTERNE!$B$52-12*('TCO TO BE- SW'!$D154-1))*((G$4+'TCO TO BE - HW'!G$4)/($E$4+'TCO TO BE - HW'!$E$4)*SUM(POZICIE_INTERNE!$I$52:$I$63))/POZICIE_INTERNE!$B$52)),0)+IFERROR(IF((AKTIVITY_POZICIE!$B$53-12*('TCO TO BE- SW'!$D154-1))&gt;12,((G$4+'TCO TO BE - HW'!G$4)/($E$4+'TCO TO BE - HW'!$E$4)*SUM(AKTIVITY_POZICIE!$M$53:$M$64))/AKTIVITY_POZICIE!$B$41*12,IF((AKTIVITY_POZICIE!$B$53-12*('TCO TO BE- SW'!$D154-1))&lt;0,0,(AKTIVITY_POZICIE!$B$53-12*('TCO TO BE- SW'!$D154-1))*((G$4+'TCO TO BE - HW'!G$4)/($E$4+'TCO TO BE - HW'!$E$4)*SUM(AKTIVITY_POZICIE!$M$53:$M$64))/AKTIVITY_POZICIE!$B$53)),0)</f>
        <v>0</v>
      </c>
      <c r="H164" s="577">
        <f>IFERROR(IF((POZICIE_INTERNE!$B$52-12*('TCO TO BE- SW'!$D154-1))&gt;12,((H$4+'TCO TO BE - HW'!H$4)/($E$4+'TCO TO BE - HW'!$E$4)*SUM(POZICIE_INTERNE!$I$52:$I$63))/POZICIE_INTERNE!$B$52*12,IF((POZICIE_INTERNE!$B$52-12*('TCO TO BE- SW'!$D154-1))&lt;0,0,(POZICIE_INTERNE!$B$52-12*('TCO TO BE- SW'!$D154-1))*((H$4+'TCO TO BE - HW'!H$4)/($E$4+'TCO TO BE - HW'!$E$4)*SUM(POZICIE_INTERNE!$I$52:$I$63))/POZICIE_INTERNE!$B$52)),0)+IFERROR(IF((AKTIVITY_POZICIE!$B$53-12*('TCO TO BE- SW'!$D154-1))&gt;12,((H$4+'TCO TO BE - HW'!H$4)/($E$4+'TCO TO BE - HW'!$E$4)*SUM(AKTIVITY_POZICIE!$M$53:$M$64))/AKTIVITY_POZICIE!$B$41*12,IF((AKTIVITY_POZICIE!$B$53-12*('TCO TO BE- SW'!$D154-1))&lt;0,0,(AKTIVITY_POZICIE!$B$53-12*('TCO TO BE- SW'!$D154-1))*((H$4+'TCO TO BE - HW'!H$4)/($E$4+'TCO TO BE - HW'!$E$4)*SUM(AKTIVITY_POZICIE!$M$53:$M$64))/AKTIVITY_POZICIE!$B$53)),0)</f>
        <v>0</v>
      </c>
      <c r="I164" s="577">
        <f>IFERROR(IF((POZICIE_INTERNE!$B$52-12*('TCO TO BE- SW'!$D154-1))&gt;12,((I$4+'TCO TO BE - HW'!I$4)/($E$4+'TCO TO BE - HW'!$E$4)*SUM(POZICIE_INTERNE!$I$52:$I$63))/POZICIE_INTERNE!$B$52*12,IF((POZICIE_INTERNE!$B$52-12*('TCO TO BE- SW'!$D154-1))&lt;0,0,(POZICIE_INTERNE!$B$52-12*('TCO TO BE- SW'!$D154-1))*((I$4+'TCO TO BE - HW'!I$4)/($E$4+'TCO TO BE - HW'!$E$4)*SUM(POZICIE_INTERNE!$I$52:$I$63))/POZICIE_INTERNE!$B$52)),0)+IFERROR(IF((AKTIVITY_POZICIE!$B$53-12*('TCO TO BE- SW'!$D154-1))&gt;12,((I$4+'TCO TO BE - HW'!I$4)/($E$4+'TCO TO BE - HW'!$E$4)*SUM(AKTIVITY_POZICIE!$M$53:$M$64))/AKTIVITY_POZICIE!$B$41*12,IF((AKTIVITY_POZICIE!$B$53-12*('TCO TO BE- SW'!$D154-1))&lt;0,0,(AKTIVITY_POZICIE!$B$53-12*('TCO TO BE- SW'!$D154-1))*((I$4+'TCO TO BE - HW'!I$4)/($E$4+'TCO TO BE - HW'!$E$4)*SUM(AKTIVITY_POZICIE!$M$53:$M$64))/AKTIVITY_POZICIE!$B$53)),0)</f>
        <v>0</v>
      </c>
      <c r="J164" s="577">
        <f>IFERROR(IF((POZICIE_INTERNE!$B$52-12*('TCO TO BE- SW'!$D154-1))&gt;12,((J$4+'TCO TO BE - HW'!J$4)/($E$4+'TCO TO BE - HW'!$E$4)*SUM(POZICIE_INTERNE!$I$52:$I$63))/POZICIE_INTERNE!$B$52*12,IF((POZICIE_INTERNE!$B$52-12*('TCO TO BE- SW'!$D154-1))&lt;0,0,(POZICIE_INTERNE!$B$52-12*('TCO TO BE- SW'!$D154-1))*((J$4+'TCO TO BE - HW'!J$4)/($E$4+'TCO TO BE - HW'!$E$4)*SUM(POZICIE_INTERNE!$I$52:$I$63))/POZICIE_INTERNE!$B$52)),0)+IFERROR(IF((AKTIVITY_POZICIE!$B$53-12*('TCO TO BE- SW'!$D154-1))&gt;12,((J$4+'TCO TO BE - HW'!J$4)/($E$4+'TCO TO BE - HW'!$E$4)*SUM(AKTIVITY_POZICIE!$M$53:$M$64))/AKTIVITY_POZICIE!$B$41*12,IF((AKTIVITY_POZICIE!$B$53-12*('TCO TO BE- SW'!$D154-1))&lt;0,0,(AKTIVITY_POZICIE!$B$53-12*('TCO TO BE- SW'!$D154-1))*((J$4+'TCO TO BE - HW'!J$4)/($E$4+'TCO TO BE - HW'!$E$4)*SUM(AKTIVITY_POZICIE!$M$53:$M$64))/AKTIVITY_POZICIE!$B$53)),0)</f>
        <v>0</v>
      </c>
      <c r="K164" s="577">
        <f>IFERROR(IF((POZICIE_INTERNE!$B$52-12*('TCO TO BE- SW'!$D154-1))&gt;12,((K$4+'TCO TO BE - HW'!K$4)/($E$4+'TCO TO BE - HW'!$E$4)*SUM(POZICIE_INTERNE!$I$52:$I$63))/POZICIE_INTERNE!$B$52*12,IF((POZICIE_INTERNE!$B$52-12*('TCO TO BE- SW'!$D154-1))&lt;0,0,(POZICIE_INTERNE!$B$52-12*('TCO TO BE- SW'!$D154-1))*((K$4+'TCO TO BE - HW'!K$4)/($E$4+'TCO TO BE - HW'!$E$4)*SUM(POZICIE_INTERNE!$I$52:$I$63))/POZICIE_INTERNE!$B$52)),0)+IFERROR(IF((AKTIVITY_POZICIE!$B$53-12*('TCO TO BE- SW'!$D154-1))&gt;12,((K$4+'TCO TO BE - HW'!K$4)/($E$4+'TCO TO BE - HW'!$E$4)*SUM(AKTIVITY_POZICIE!$M$53:$M$64))/AKTIVITY_POZICIE!$B$41*12,IF((AKTIVITY_POZICIE!$B$53-12*('TCO TO BE- SW'!$D154-1))&lt;0,0,(AKTIVITY_POZICIE!$B$53-12*('TCO TO BE- SW'!$D154-1))*((K$4+'TCO TO BE - HW'!K$4)/($E$4+'TCO TO BE - HW'!$E$4)*SUM(AKTIVITY_POZICIE!$M$53:$M$64))/AKTIVITY_POZICIE!$B$53)),0)</f>
        <v>0</v>
      </c>
      <c r="L164" s="577">
        <f>IFERROR(IF((POZICIE_INTERNE!$B$52-12*('TCO TO BE- SW'!$D154-1))&gt;12,((L$4+'TCO TO BE - HW'!L$4)/($E$4+'TCO TO BE - HW'!$E$4)*SUM(POZICIE_INTERNE!$I$52:$I$63))/POZICIE_INTERNE!$B$52*12,IF((POZICIE_INTERNE!$B$52-12*('TCO TO BE- SW'!$D154-1))&lt;0,0,(POZICIE_INTERNE!$B$52-12*('TCO TO BE- SW'!$D154-1))*((L$4+'TCO TO BE - HW'!L$4)/($E$4+'TCO TO BE - HW'!$E$4)*SUM(POZICIE_INTERNE!$I$52:$I$63))/POZICIE_INTERNE!$B$52)),0)+IFERROR(IF((AKTIVITY_POZICIE!$B$53-12*('TCO TO BE- SW'!$D154-1))&gt;12,((L$4+'TCO TO BE - HW'!L$4)/($E$4+'TCO TO BE - HW'!$E$4)*SUM(AKTIVITY_POZICIE!$M$53:$M$64))/AKTIVITY_POZICIE!$B$41*12,IF((AKTIVITY_POZICIE!$B$53-12*('TCO TO BE- SW'!$D154-1))&lt;0,0,(AKTIVITY_POZICIE!$B$53-12*('TCO TO BE- SW'!$D154-1))*((L$4+'TCO TO BE - HW'!L$4)/($E$4+'TCO TO BE - HW'!$E$4)*SUM(AKTIVITY_POZICIE!$M$53:$M$64))/AKTIVITY_POZICIE!$B$53)),0)</f>
        <v>0</v>
      </c>
      <c r="M164" s="577">
        <f>IFERROR(IF((POZICIE_INTERNE!$B$52-12*('TCO TO BE- SW'!$D154-1))&gt;12,((M$4+'TCO TO BE - HW'!M$4)/($E$4+'TCO TO BE - HW'!$E$4)*SUM(POZICIE_INTERNE!$I$52:$I$63))/POZICIE_INTERNE!$B$52*12,IF((POZICIE_INTERNE!$B$52-12*('TCO TO BE- SW'!$D154-1))&lt;0,0,(POZICIE_INTERNE!$B$52-12*('TCO TO BE- SW'!$D154-1))*((M$4+'TCO TO BE - HW'!M$4)/($E$4+'TCO TO BE - HW'!$E$4)*SUM(POZICIE_INTERNE!$I$52:$I$63))/POZICIE_INTERNE!$B$52)),0)+IFERROR(IF((AKTIVITY_POZICIE!$B$53-12*('TCO TO BE- SW'!$D154-1))&gt;12,((M$4+'TCO TO BE - HW'!M$4)/($E$4+'TCO TO BE - HW'!$E$4)*SUM(AKTIVITY_POZICIE!$M$53:$M$64))/AKTIVITY_POZICIE!$B$41*12,IF((AKTIVITY_POZICIE!$B$53-12*('TCO TO BE- SW'!$D154-1))&lt;0,0,(AKTIVITY_POZICIE!$B$53-12*('TCO TO BE- SW'!$D154-1))*((M$4+'TCO TO BE - HW'!M$4)/($E$4+'TCO TO BE - HW'!$E$4)*SUM(AKTIVITY_POZICIE!$M$53:$M$64))/AKTIVITY_POZICIE!$B$53)),0)</f>
        <v>0</v>
      </c>
      <c r="N164" s="577">
        <f>IFERROR(IF((POZICIE_INTERNE!$B$52-12*('TCO TO BE- SW'!$D154-1))&gt;12,((N$4+'TCO TO BE - HW'!N$4)/($E$4+'TCO TO BE - HW'!$E$4)*SUM(POZICIE_INTERNE!$I$52:$I$63))/POZICIE_INTERNE!$B$52*12,IF((POZICIE_INTERNE!$B$52-12*('TCO TO BE- SW'!$D154-1))&lt;0,0,(POZICIE_INTERNE!$B$52-12*('TCO TO BE- SW'!$D154-1))*((N$4+'TCO TO BE - HW'!N$4)/($E$4+'TCO TO BE - HW'!$E$4)*SUM(POZICIE_INTERNE!$I$52:$I$63))/POZICIE_INTERNE!$B$52)),0)+IFERROR(IF((AKTIVITY_POZICIE!$B$53-12*('TCO TO BE- SW'!$D154-1))&gt;12,((N$4+'TCO TO BE - HW'!N$4)/($E$4+'TCO TO BE - HW'!$E$4)*SUM(AKTIVITY_POZICIE!$M$53:$M$64))/AKTIVITY_POZICIE!$B$41*12,IF((AKTIVITY_POZICIE!$B$53-12*('TCO TO BE- SW'!$D154-1))&lt;0,0,(AKTIVITY_POZICIE!$B$53-12*('TCO TO BE- SW'!$D154-1))*((N$4+'TCO TO BE - HW'!N$4)/($E$4+'TCO TO BE - HW'!$E$4)*SUM(AKTIVITY_POZICIE!$M$53:$M$64))/AKTIVITY_POZICIE!$B$53)),0)</f>
        <v>0</v>
      </c>
      <c r="O164" s="577">
        <f>IFERROR(IF((POZICIE_INTERNE!$B$52-12*('TCO TO BE- SW'!$D154-1))&gt;12,((O$4+'TCO TO BE - HW'!O$4)/($E$4+'TCO TO BE - HW'!$E$4)*SUM(POZICIE_INTERNE!$I$52:$I$63))/POZICIE_INTERNE!$B$52*12,IF((POZICIE_INTERNE!$B$52-12*('TCO TO BE- SW'!$D154-1))&lt;0,0,(POZICIE_INTERNE!$B$52-12*('TCO TO BE- SW'!$D154-1))*((O$4+'TCO TO BE - HW'!O$4)/($E$4+'TCO TO BE - HW'!$E$4)*SUM(POZICIE_INTERNE!$I$52:$I$63))/POZICIE_INTERNE!$B$52)),0)+IFERROR(IF((AKTIVITY_POZICIE!$B$53-12*('TCO TO BE- SW'!$D154-1))&gt;12,((O$4+'TCO TO BE - HW'!O$4)/($E$4+'TCO TO BE - HW'!$E$4)*SUM(AKTIVITY_POZICIE!$M$53:$M$64))/AKTIVITY_POZICIE!$B$41*12,IF((AKTIVITY_POZICIE!$B$53-12*('TCO TO BE- SW'!$D154-1))&lt;0,0,(AKTIVITY_POZICIE!$B$53-12*('TCO TO BE- SW'!$D154-1))*((O$4+'TCO TO BE - HW'!O$4)/($E$4+'TCO TO BE - HW'!$E$4)*SUM(AKTIVITY_POZICIE!$M$53:$M$64))/AKTIVITY_POZICIE!$B$53)),0)</f>
        <v>0</v>
      </c>
      <c r="P164" s="577">
        <f>IFERROR(IF((POZICIE_INTERNE!$B$52-12*('TCO TO BE- SW'!$D154-1))&gt;12,((P$4+'TCO TO BE - HW'!P$4)/($E$4+'TCO TO BE - HW'!$E$4)*SUM(POZICIE_INTERNE!$I$52:$I$63))/POZICIE_INTERNE!$B$52*12,IF((POZICIE_INTERNE!$B$52-12*('TCO TO BE- SW'!$D154-1))&lt;0,0,(POZICIE_INTERNE!$B$52-12*('TCO TO BE- SW'!$D154-1))*((P$4+'TCO TO BE - HW'!P$4)/($E$4+'TCO TO BE - HW'!$E$4)*SUM(POZICIE_INTERNE!$I$52:$I$63))/POZICIE_INTERNE!$B$52)),0)+IFERROR(IF((AKTIVITY_POZICIE!$B$53-12*('TCO TO BE- SW'!$D154-1))&gt;12,((P$4+'TCO TO BE - HW'!P$4)/($E$4+'TCO TO BE - HW'!$E$4)*SUM(AKTIVITY_POZICIE!$M$53:$M$64))/AKTIVITY_POZICIE!$B$41*12,IF((AKTIVITY_POZICIE!$B$53-12*('TCO TO BE- SW'!$D154-1))&lt;0,0,(AKTIVITY_POZICIE!$B$53-12*('TCO TO BE- SW'!$D154-1))*((P$4+'TCO TO BE - HW'!P$4)/($E$4+'TCO TO BE - HW'!$E$4)*SUM(AKTIVITY_POZICIE!$M$53:$M$64))/AKTIVITY_POZICIE!$B$53)),0)</f>
        <v>0</v>
      </c>
      <c r="Q164" s="577">
        <f>IFERROR(IF((POZICIE_INTERNE!$B$52-12*('TCO TO BE- SW'!$D154-1))&gt;12,((Q$4+'TCO TO BE - HW'!Q$4)/($E$4+'TCO TO BE - HW'!$E$4)*SUM(POZICIE_INTERNE!$I$52:$I$63))/POZICIE_INTERNE!$B$52*12,IF((POZICIE_INTERNE!$B$52-12*('TCO TO BE- SW'!$D154-1))&lt;0,0,(POZICIE_INTERNE!$B$52-12*('TCO TO BE- SW'!$D154-1))*((Q$4+'TCO TO BE - HW'!Q$4)/($E$4+'TCO TO BE - HW'!$E$4)*SUM(POZICIE_INTERNE!$I$52:$I$63))/POZICIE_INTERNE!$B$52)),0)+IFERROR(IF((AKTIVITY_POZICIE!$B$53-12*('TCO TO BE- SW'!$D154-1))&gt;12,((Q$4+'TCO TO BE - HW'!Q$4)/($E$4+'TCO TO BE - HW'!$E$4)*SUM(AKTIVITY_POZICIE!$M$53:$M$64))/AKTIVITY_POZICIE!$B$41*12,IF((AKTIVITY_POZICIE!$B$53-12*('TCO TO BE- SW'!$D154-1))&lt;0,0,(AKTIVITY_POZICIE!$B$53-12*('TCO TO BE- SW'!$D154-1))*((Q$4+'TCO TO BE - HW'!Q$4)/($E$4+'TCO TO BE - HW'!$E$4)*SUM(AKTIVITY_POZICIE!$M$53:$M$64))/AKTIVITY_POZICIE!$B$53)),0)</f>
        <v>0</v>
      </c>
      <c r="R164" s="577">
        <f>IFERROR(IF((POZICIE_INTERNE!$B$52-12*('TCO TO BE- SW'!$D154-1))&gt;12,((R$4+'TCO TO BE - HW'!R$4)/($E$4+'TCO TO BE - HW'!$E$4)*SUM(POZICIE_INTERNE!$I$52:$I$63))/POZICIE_INTERNE!$B$52*12,IF((POZICIE_INTERNE!$B$52-12*('TCO TO BE- SW'!$D154-1))&lt;0,0,(POZICIE_INTERNE!$B$52-12*('TCO TO BE- SW'!$D154-1))*((R$4+'TCO TO BE - HW'!R$4)/($E$4+'TCO TO BE - HW'!$E$4)*SUM(POZICIE_INTERNE!$I$52:$I$63))/POZICIE_INTERNE!$B$52)),0)+IFERROR(IF((AKTIVITY_POZICIE!$B$53-12*('TCO TO BE- SW'!$D154-1))&gt;12,((R$4+'TCO TO BE - HW'!R$4)/($E$4+'TCO TO BE - HW'!$E$4)*SUM(AKTIVITY_POZICIE!$M$53:$M$64))/AKTIVITY_POZICIE!$B$41*12,IF((AKTIVITY_POZICIE!$B$53-12*('TCO TO BE- SW'!$D154-1))&lt;0,0,(AKTIVITY_POZICIE!$B$53-12*('TCO TO BE- SW'!$D154-1))*((R$4+'TCO TO BE - HW'!R$4)/($E$4+'TCO TO BE - HW'!$E$4)*SUM(AKTIVITY_POZICIE!$M$53:$M$64))/AKTIVITY_POZICIE!$B$53)),0)</f>
        <v>0</v>
      </c>
      <c r="S164" s="577">
        <f>IFERROR(IF((POZICIE_INTERNE!$B$52-12*('TCO TO BE- SW'!$D154-1))&gt;12,((S$4+'TCO TO BE - HW'!S$4)/($E$4+'TCO TO BE - HW'!$E$4)*SUM(POZICIE_INTERNE!$I$52:$I$63))/POZICIE_INTERNE!$B$52*12,IF((POZICIE_INTERNE!$B$52-12*('TCO TO BE- SW'!$D154-1))&lt;0,0,(POZICIE_INTERNE!$B$52-12*('TCO TO BE- SW'!$D154-1))*((S$4+'TCO TO BE - HW'!S$4)/($E$4+'TCO TO BE - HW'!$E$4)*SUM(POZICIE_INTERNE!$I$52:$I$63))/POZICIE_INTERNE!$B$52)),0)+IFERROR(IF((AKTIVITY_POZICIE!$B$53-12*('TCO TO BE- SW'!$D154-1))&gt;12,((S$4+'TCO TO BE - HW'!S$4)/($E$4+'TCO TO BE - HW'!$E$4)*SUM(AKTIVITY_POZICIE!$M$53:$M$64))/AKTIVITY_POZICIE!$B$41*12,IF((AKTIVITY_POZICIE!$B$53-12*('TCO TO BE- SW'!$D154-1))&lt;0,0,(AKTIVITY_POZICIE!$B$53-12*('TCO TO BE- SW'!$D154-1))*((S$4+'TCO TO BE - HW'!S$4)/($E$4+'TCO TO BE - HW'!$E$4)*SUM(AKTIVITY_POZICIE!$M$53:$M$64))/AKTIVITY_POZICIE!$B$53)),0)</f>
        <v>0</v>
      </c>
      <c r="T164" s="577">
        <f>IFERROR(IF((POZICIE_INTERNE!$B$52-12*('TCO TO BE- SW'!$D154-1))&gt;12,((T$4+'TCO TO BE - HW'!T$4)/($E$4+'TCO TO BE - HW'!$E$4)*SUM(POZICIE_INTERNE!$I$52:$I$63))/POZICIE_INTERNE!$B$52*12,IF((POZICIE_INTERNE!$B$52-12*('TCO TO BE- SW'!$D154-1))&lt;0,0,(POZICIE_INTERNE!$B$52-12*('TCO TO BE- SW'!$D154-1))*((T$4+'TCO TO BE - HW'!T$4)/($E$4+'TCO TO BE - HW'!$E$4)*SUM(POZICIE_INTERNE!$I$52:$I$63))/POZICIE_INTERNE!$B$52)),0)+IFERROR(IF((AKTIVITY_POZICIE!$B$53-12*('TCO TO BE- SW'!$D154-1))&gt;12,((T$4+'TCO TO BE - HW'!T$4)/($E$4+'TCO TO BE - HW'!$E$4)*SUM(AKTIVITY_POZICIE!$M$53:$M$64))/AKTIVITY_POZICIE!$B$41*12,IF((AKTIVITY_POZICIE!$B$53-12*('TCO TO BE- SW'!$D154-1))&lt;0,0,(AKTIVITY_POZICIE!$B$53-12*('TCO TO BE- SW'!$D154-1))*((T$4+'TCO TO BE - HW'!T$4)/($E$4+'TCO TO BE - HW'!$E$4)*SUM(AKTIVITY_POZICIE!$M$53:$M$64))/AKTIVITY_POZICIE!$B$53)),0)</f>
        <v>0</v>
      </c>
      <c r="U164" s="577">
        <f>IFERROR(IF((POZICIE_INTERNE!$B$52-12*('TCO TO BE- SW'!$D154-1))&gt;12,((U$4+'TCO TO BE - HW'!U$4)/($E$4+'TCO TO BE - HW'!$E$4)*SUM(POZICIE_INTERNE!$I$52:$I$63))/POZICIE_INTERNE!$B$52*12,IF((POZICIE_INTERNE!$B$52-12*('TCO TO BE- SW'!$D154-1))&lt;0,0,(POZICIE_INTERNE!$B$52-12*('TCO TO BE- SW'!$D154-1))*((U$4+'TCO TO BE - HW'!U$4)/($E$4+'TCO TO BE - HW'!$E$4)*SUM(POZICIE_INTERNE!$I$52:$I$63))/POZICIE_INTERNE!$B$52)),0)+IFERROR(IF((AKTIVITY_POZICIE!$B$53-12*('TCO TO BE- SW'!$D154-1))&gt;12,((U$4+'TCO TO BE - HW'!U$4)/($E$4+'TCO TO BE - HW'!$E$4)*SUM(AKTIVITY_POZICIE!$M$53:$M$64))/AKTIVITY_POZICIE!$B$41*12,IF((AKTIVITY_POZICIE!$B$53-12*('TCO TO BE- SW'!$D154-1))&lt;0,0,(AKTIVITY_POZICIE!$B$53-12*('TCO TO BE- SW'!$D154-1))*((U$4+'TCO TO BE - HW'!U$4)/($E$4+'TCO TO BE - HW'!$E$4)*SUM(AKTIVITY_POZICIE!$M$53:$M$64))/AKTIVITY_POZICIE!$B$53)),0)</f>
        <v>0</v>
      </c>
      <c r="V164" s="577">
        <f>IFERROR(IF((POZICIE_INTERNE!$B$52-12*('TCO TO BE- SW'!$D154-1))&gt;12,((V$4+'TCO TO BE - HW'!V$4)/($E$4+'TCO TO BE - HW'!$E$4)*SUM(POZICIE_INTERNE!$I$52:$I$63))/POZICIE_INTERNE!$B$52*12,IF((POZICIE_INTERNE!$B$52-12*('TCO TO BE- SW'!$D154-1))&lt;0,0,(POZICIE_INTERNE!$B$52-12*('TCO TO BE- SW'!$D154-1))*((V$4+'TCO TO BE - HW'!V$4)/($E$4+'TCO TO BE - HW'!$E$4)*SUM(POZICIE_INTERNE!$I$52:$I$63))/POZICIE_INTERNE!$B$52)),0)+IFERROR(IF((AKTIVITY_POZICIE!$B$53-12*('TCO TO BE- SW'!$D154-1))&gt;12,((V$4+'TCO TO BE - HW'!V$4)/($E$4+'TCO TO BE - HW'!$E$4)*SUM(AKTIVITY_POZICIE!$M$53:$M$64))/AKTIVITY_POZICIE!$B$41*12,IF((AKTIVITY_POZICIE!$B$53-12*('TCO TO BE- SW'!$D154-1))&lt;0,0,(AKTIVITY_POZICIE!$B$53-12*('TCO TO BE- SW'!$D154-1))*((V$4+'TCO TO BE - HW'!V$4)/($E$4+'TCO TO BE - HW'!$E$4)*SUM(AKTIVITY_POZICIE!$M$53:$M$64))/AKTIVITY_POZICIE!$B$53)),0)</f>
        <v>0</v>
      </c>
      <c r="W164" s="577">
        <f>IFERROR(IF((POZICIE_INTERNE!$B$52-12*('TCO TO BE- SW'!$D154-1))&gt;12,((W$4+'TCO TO BE - HW'!W$4)/($E$4+'TCO TO BE - HW'!$E$4)*SUM(POZICIE_INTERNE!$I$52:$I$63))/POZICIE_INTERNE!$B$52*12,IF((POZICIE_INTERNE!$B$52-12*('TCO TO BE- SW'!$D154-1))&lt;0,0,(POZICIE_INTERNE!$B$52-12*('TCO TO BE- SW'!$D154-1))*((W$4+'TCO TO BE - HW'!W$4)/($E$4+'TCO TO BE - HW'!$E$4)*SUM(POZICIE_INTERNE!$I$52:$I$63))/POZICIE_INTERNE!$B$52)),0)+IFERROR(IF((AKTIVITY_POZICIE!$B$53-12*('TCO TO BE- SW'!$D154-1))&gt;12,((W$4+'TCO TO BE - HW'!W$4)/($E$4+'TCO TO BE - HW'!$E$4)*SUM(AKTIVITY_POZICIE!$M$53:$M$64))/AKTIVITY_POZICIE!$B$41*12,IF((AKTIVITY_POZICIE!$B$53-12*('TCO TO BE- SW'!$D154-1))&lt;0,0,(AKTIVITY_POZICIE!$B$53-12*('TCO TO BE- SW'!$D154-1))*((W$4+'TCO TO BE - HW'!W$4)/($E$4+'TCO TO BE - HW'!$E$4)*SUM(AKTIVITY_POZICIE!$M$53:$M$64))/AKTIVITY_POZICIE!$B$53)),0)</f>
        <v>0</v>
      </c>
      <c r="X164" s="577">
        <f>IFERROR(IF((POZICIE_INTERNE!$B$52-12*('TCO TO BE- SW'!$D154-1))&gt;12,((X$4+'TCO TO BE - HW'!X$4)/($E$4+'TCO TO BE - HW'!$E$4)*SUM(POZICIE_INTERNE!$I$52:$I$63))/POZICIE_INTERNE!$B$52*12,IF((POZICIE_INTERNE!$B$52-12*('TCO TO BE- SW'!$D154-1))&lt;0,0,(POZICIE_INTERNE!$B$52-12*('TCO TO BE- SW'!$D154-1))*((X$4+'TCO TO BE - HW'!X$4)/($E$4+'TCO TO BE - HW'!$E$4)*SUM(POZICIE_INTERNE!$I$52:$I$63))/POZICIE_INTERNE!$B$52)),0)+IFERROR(IF((AKTIVITY_POZICIE!$B$53-12*('TCO TO BE- SW'!$D154-1))&gt;12,((X$4+'TCO TO BE - HW'!X$4)/($E$4+'TCO TO BE - HW'!$E$4)*SUM(AKTIVITY_POZICIE!$M$53:$M$64))/AKTIVITY_POZICIE!$B$41*12,IF((AKTIVITY_POZICIE!$B$53-12*('TCO TO BE- SW'!$D154-1))&lt;0,0,(AKTIVITY_POZICIE!$B$53-12*('TCO TO BE- SW'!$D154-1))*((X$4+'TCO TO BE - HW'!X$4)/($E$4+'TCO TO BE - HW'!$E$4)*SUM(AKTIVITY_POZICIE!$M$53:$M$64))/AKTIVITY_POZICIE!$B$53)),0)</f>
        <v>0</v>
      </c>
      <c r="Y164" s="577">
        <f>IFERROR(IF((POZICIE_INTERNE!$B$52-12*('TCO TO BE- SW'!$D154-1))&gt;12,((Y$4+'TCO TO BE - HW'!Y$4)/($E$4+'TCO TO BE - HW'!$E$4)*SUM(POZICIE_INTERNE!$I$52:$I$63))/POZICIE_INTERNE!$B$52*12,IF((POZICIE_INTERNE!$B$52-12*('TCO TO BE- SW'!$D154-1))&lt;0,0,(POZICIE_INTERNE!$B$52-12*('TCO TO BE- SW'!$D154-1))*((Y$4+'TCO TO BE - HW'!Y$4)/($E$4+'TCO TO BE - HW'!$E$4)*SUM(POZICIE_INTERNE!$I$52:$I$63))/POZICIE_INTERNE!$B$52)),0)+IFERROR(IF((AKTIVITY_POZICIE!$B$53-12*('TCO TO BE- SW'!$D154-1))&gt;12,((Y$4+'TCO TO BE - HW'!Y$4)/($E$4+'TCO TO BE - HW'!$E$4)*SUM(AKTIVITY_POZICIE!$M$53:$M$64))/AKTIVITY_POZICIE!$B$41*12,IF((AKTIVITY_POZICIE!$B$53-12*('TCO TO BE- SW'!$D154-1))&lt;0,0,(AKTIVITY_POZICIE!$B$53-12*('TCO TO BE- SW'!$D154-1))*((Y$4+'TCO TO BE - HW'!Y$4)/($E$4+'TCO TO BE - HW'!$E$4)*SUM(AKTIVITY_POZICIE!$M$53:$M$64))/AKTIVITY_POZICIE!$B$53)),0)</f>
        <v>0</v>
      </c>
      <c r="Z164" s="577">
        <f>IFERROR(IF((POZICIE_INTERNE!$B$52-12*('TCO TO BE- SW'!$D154-1))&gt;12,((Z$4+'TCO TO BE - HW'!Z$4)/($E$4+'TCO TO BE - HW'!$E$4)*SUM(POZICIE_INTERNE!$I$52:$I$63))/POZICIE_INTERNE!$B$52*12,IF((POZICIE_INTERNE!$B$52-12*('TCO TO BE- SW'!$D154-1))&lt;0,0,(POZICIE_INTERNE!$B$52-12*('TCO TO BE- SW'!$D154-1))*((Z$4+'TCO TO BE - HW'!Z$4)/($E$4+'TCO TO BE - HW'!$E$4)*SUM(POZICIE_INTERNE!$I$52:$I$63))/POZICIE_INTERNE!$B$52)),0)+IFERROR(IF((AKTIVITY_POZICIE!$B$53-12*('TCO TO BE- SW'!$D154-1))&gt;12,((Z$4+'TCO TO BE - HW'!Z$4)/($E$4+'TCO TO BE - HW'!$E$4)*SUM(AKTIVITY_POZICIE!$M$53:$M$64))/AKTIVITY_POZICIE!$B$41*12,IF((AKTIVITY_POZICIE!$B$53-12*('TCO TO BE- SW'!$D154-1))&lt;0,0,(AKTIVITY_POZICIE!$B$53-12*('TCO TO BE- SW'!$D154-1))*((Z$4+'TCO TO BE - HW'!Z$4)/($E$4+'TCO TO BE - HW'!$E$4)*SUM(AKTIVITY_POZICIE!$M$53:$M$64))/AKTIVITY_POZICIE!$B$53)),0)</f>
        <v>0</v>
      </c>
    </row>
    <row r="165" spans="1:26">
      <c r="A165" s="824"/>
      <c r="B165" s="825"/>
      <c r="C165" s="825"/>
      <c r="D165" s="64">
        <v>5</v>
      </c>
      <c r="E165" s="68">
        <f t="shared" si="16"/>
        <v>0</v>
      </c>
      <c r="F165" s="577">
        <f>IFERROR(IF((POZICIE_INTERNE!$B$52-12*('TCO TO BE- SW'!$D155-1))&gt;12,((F$4+'TCO TO BE - HW'!F$4)/($E$4+'TCO TO BE - HW'!$E$4)*SUM(POZICIE_INTERNE!$I$52:$I$63))/POZICIE_INTERNE!$B$52*12,IF((POZICIE_INTERNE!$B$52-12*('TCO TO BE- SW'!$D155-1))&lt;0,0,(POZICIE_INTERNE!$B$52-12*('TCO TO BE- SW'!$D155-1))*((F$4+'TCO TO BE - HW'!F$4)/($E$4+'TCO TO BE - HW'!$E$4)*SUM(POZICIE_INTERNE!$I$52:$I$63))/POZICIE_INTERNE!$B$52)),0)+IFERROR(IF((AKTIVITY_POZICIE!$B$53-12*('TCO TO BE- SW'!$D155-1))&gt;12,((F$4+'TCO TO BE - HW'!F$4)/($E$4+'TCO TO BE - HW'!$E$4)*SUM(AKTIVITY_POZICIE!$M$53:$M$64))/AKTIVITY_POZICIE!$B$41*12,IF((AKTIVITY_POZICIE!$B$53-12*('TCO TO BE- SW'!$D155-1))&lt;0,0,(AKTIVITY_POZICIE!$B$53-12*('TCO TO BE- SW'!$D155-1))*((F$4+'TCO TO BE - HW'!F$4)/($E$4+'TCO TO BE - HW'!$E$4)*SUM(AKTIVITY_POZICIE!$M$53:$M$64))/AKTIVITY_POZICIE!$B$53)),0)</f>
        <v>0</v>
      </c>
      <c r="G165" s="577">
        <f>IFERROR(IF((POZICIE_INTERNE!$B$52-12*('TCO TO BE- SW'!$D155-1))&gt;12,((G$4+'TCO TO BE - HW'!G$4)/($E$4+'TCO TO BE - HW'!$E$4)*SUM(POZICIE_INTERNE!$I$52:$I$63))/POZICIE_INTERNE!$B$52*12,IF((POZICIE_INTERNE!$B$52-12*('TCO TO BE- SW'!$D155-1))&lt;0,0,(POZICIE_INTERNE!$B$52-12*('TCO TO BE- SW'!$D155-1))*((G$4+'TCO TO BE - HW'!G$4)/($E$4+'TCO TO BE - HW'!$E$4)*SUM(POZICIE_INTERNE!$I$52:$I$63))/POZICIE_INTERNE!$B$52)),0)+IFERROR(IF((AKTIVITY_POZICIE!$B$53-12*('TCO TO BE- SW'!$D155-1))&gt;12,((G$4+'TCO TO BE - HW'!G$4)/($E$4+'TCO TO BE - HW'!$E$4)*SUM(AKTIVITY_POZICIE!$M$53:$M$64))/AKTIVITY_POZICIE!$B$41*12,IF((AKTIVITY_POZICIE!$B$53-12*('TCO TO BE- SW'!$D155-1))&lt;0,0,(AKTIVITY_POZICIE!$B$53-12*('TCO TO BE- SW'!$D155-1))*((G$4+'TCO TO BE - HW'!G$4)/($E$4+'TCO TO BE - HW'!$E$4)*SUM(AKTIVITY_POZICIE!$M$53:$M$64))/AKTIVITY_POZICIE!$B$53)),0)</f>
        <v>0</v>
      </c>
      <c r="H165" s="577">
        <f>IFERROR(IF((POZICIE_INTERNE!$B$52-12*('TCO TO BE- SW'!$D155-1))&gt;12,((H$4+'TCO TO BE - HW'!H$4)/($E$4+'TCO TO BE - HW'!$E$4)*SUM(POZICIE_INTERNE!$I$52:$I$63))/POZICIE_INTERNE!$B$52*12,IF((POZICIE_INTERNE!$B$52-12*('TCO TO BE- SW'!$D155-1))&lt;0,0,(POZICIE_INTERNE!$B$52-12*('TCO TO BE- SW'!$D155-1))*((H$4+'TCO TO BE - HW'!H$4)/($E$4+'TCO TO BE - HW'!$E$4)*SUM(POZICIE_INTERNE!$I$52:$I$63))/POZICIE_INTERNE!$B$52)),0)+IFERROR(IF((AKTIVITY_POZICIE!$B$53-12*('TCO TO BE- SW'!$D155-1))&gt;12,((H$4+'TCO TO BE - HW'!H$4)/($E$4+'TCO TO BE - HW'!$E$4)*SUM(AKTIVITY_POZICIE!$M$53:$M$64))/AKTIVITY_POZICIE!$B$41*12,IF((AKTIVITY_POZICIE!$B$53-12*('TCO TO BE- SW'!$D155-1))&lt;0,0,(AKTIVITY_POZICIE!$B$53-12*('TCO TO BE- SW'!$D155-1))*((H$4+'TCO TO BE - HW'!H$4)/($E$4+'TCO TO BE - HW'!$E$4)*SUM(AKTIVITY_POZICIE!$M$53:$M$64))/AKTIVITY_POZICIE!$B$53)),0)</f>
        <v>0</v>
      </c>
      <c r="I165" s="577">
        <f>IFERROR(IF((POZICIE_INTERNE!$B$52-12*('TCO TO BE- SW'!$D155-1))&gt;12,((I$4+'TCO TO BE - HW'!I$4)/($E$4+'TCO TO BE - HW'!$E$4)*SUM(POZICIE_INTERNE!$I$52:$I$63))/POZICIE_INTERNE!$B$52*12,IF((POZICIE_INTERNE!$B$52-12*('TCO TO BE- SW'!$D155-1))&lt;0,0,(POZICIE_INTERNE!$B$52-12*('TCO TO BE- SW'!$D155-1))*((I$4+'TCO TO BE - HW'!I$4)/($E$4+'TCO TO BE - HW'!$E$4)*SUM(POZICIE_INTERNE!$I$52:$I$63))/POZICIE_INTERNE!$B$52)),0)+IFERROR(IF((AKTIVITY_POZICIE!$B$53-12*('TCO TO BE- SW'!$D155-1))&gt;12,((I$4+'TCO TO BE - HW'!I$4)/($E$4+'TCO TO BE - HW'!$E$4)*SUM(AKTIVITY_POZICIE!$M$53:$M$64))/AKTIVITY_POZICIE!$B$41*12,IF((AKTIVITY_POZICIE!$B$53-12*('TCO TO BE- SW'!$D155-1))&lt;0,0,(AKTIVITY_POZICIE!$B$53-12*('TCO TO BE- SW'!$D155-1))*((I$4+'TCO TO BE - HW'!I$4)/($E$4+'TCO TO BE - HW'!$E$4)*SUM(AKTIVITY_POZICIE!$M$53:$M$64))/AKTIVITY_POZICIE!$B$53)),0)</f>
        <v>0</v>
      </c>
      <c r="J165" s="577">
        <f>IFERROR(IF((POZICIE_INTERNE!$B$52-12*('TCO TO BE- SW'!$D155-1))&gt;12,((J$4+'TCO TO BE - HW'!J$4)/($E$4+'TCO TO BE - HW'!$E$4)*SUM(POZICIE_INTERNE!$I$52:$I$63))/POZICIE_INTERNE!$B$52*12,IF((POZICIE_INTERNE!$B$52-12*('TCO TO BE- SW'!$D155-1))&lt;0,0,(POZICIE_INTERNE!$B$52-12*('TCO TO BE- SW'!$D155-1))*((J$4+'TCO TO BE - HW'!J$4)/($E$4+'TCO TO BE - HW'!$E$4)*SUM(POZICIE_INTERNE!$I$52:$I$63))/POZICIE_INTERNE!$B$52)),0)+IFERROR(IF((AKTIVITY_POZICIE!$B$53-12*('TCO TO BE- SW'!$D155-1))&gt;12,((J$4+'TCO TO BE - HW'!J$4)/($E$4+'TCO TO BE - HW'!$E$4)*SUM(AKTIVITY_POZICIE!$M$53:$M$64))/AKTIVITY_POZICIE!$B$41*12,IF((AKTIVITY_POZICIE!$B$53-12*('TCO TO BE- SW'!$D155-1))&lt;0,0,(AKTIVITY_POZICIE!$B$53-12*('TCO TO BE- SW'!$D155-1))*((J$4+'TCO TO BE - HW'!J$4)/($E$4+'TCO TO BE - HW'!$E$4)*SUM(AKTIVITY_POZICIE!$M$53:$M$64))/AKTIVITY_POZICIE!$B$53)),0)</f>
        <v>0</v>
      </c>
      <c r="K165" s="577">
        <f>IFERROR(IF((POZICIE_INTERNE!$B$52-12*('TCO TO BE- SW'!$D155-1))&gt;12,((K$4+'TCO TO BE - HW'!K$4)/($E$4+'TCO TO BE - HW'!$E$4)*SUM(POZICIE_INTERNE!$I$52:$I$63))/POZICIE_INTERNE!$B$52*12,IF((POZICIE_INTERNE!$B$52-12*('TCO TO BE- SW'!$D155-1))&lt;0,0,(POZICIE_INTERNE!$B$52-12*('TCO TO BE- SW'!$D155-1))*((K$4+'TCO TO BE - HW'!K$4)/($E$4+'TCO TO BE - HW'!$E$4)*SUM(POZICIE_INTERNE!$I$52:$I$63))/POZICIE_INTERNE!$B$52)),0)+IFERROR(IF((AKTIVITY_POZICIE!$B$53-12*('TCO TO BE- SW'!$D155-1))&gt;12,((K$4+'TCO TO BE - HW'!K$4)/($E$4+'TCO TO BE - HW'!$E$4)*SUM(AKTIVITY_POZICIE!$M$53:$M$64))/AKTIVITY_POZICIE!$B$41*12,IF((AKTIVITY_POZICIE!$B$53-12*('TCO TO BE- SW'!$D155-1))&lt;0,0,(AKTIVITY_POZICIE!$B$53-12*('TCO TO BE- SW'!$D155-1))*((K$4+'TCO TO BE - HW'!K$4)/($E$4+'TCO TO BE - HW'!$E$4)*SUM(AKTIVITY_POZICIE!$M$53:$M$64))/AKTIVITY_POZICIE!$B$53)),0)</f>
        <v>0</v>
      </c>
      <c r="L165" s="577">
        <f>IFERROR(IF((POZICIE_INTERNE!$B$52-12*('TCO TO BE- SW'!$D155-1))&gt;12,((L$4+'TCO TO BE - HW'!L$4)/($E$4+'TCO TO BE - HW'!$E$4)*SUM(POZICIE_INTERNE!$I$52:$I$63))/POZICIE_INTERNE!$B$52*12,IF((POZICIE_INTERNE!$B$52-12*('TCO TO BE- SW'!$D155-1))&lt;0,0,(POZICIE_INTERNE!$B$52-12*('TCO TO BE- SW'!$D155-1))*((L$4+'TCO TO BE - HW'!L$4)/($E$4+'TCO TO BE - HW'!$E$4)*SUM(POZICIE_INTERNE!$I$52:$I$63))/POZICIE_INTERNE!$B$52)),0)+IFERROR(IF((AKTIVITY_POZICIE!$B$53-12*('TCO TO BE- SW'!$D155-1))&gt;12,((L$4+'TCO TO BE - HW'!L$4)/($E$4+'TCO TO BE - HW'!$E$4)*SUM(AKTIVITY_POZICIE!$M$53:$M$64))/AKTIVITY_POZICIE!$B$41*12,IF((AKTIVITY_POZICIE!$B$53-12*('TCO TO BE- SW'!$D155-1))&lt;0,0,(AKTIVITY_POZICIE!$B$53-12*('TCO TO BE- SW'!$D155-1))*((L$4+'TCO TO BE - HW'!L$4)/($E$4+'TCO TO BE - HW'!$E$4)*SUM(AKTIVITY_POZICIE!$M$53:$M$64))/AKTIVITY_POZICIE!$B$53)),0)</f>
        <v>0</v>
      </c>
      <c r="M165" s="577">
        <f>IFERROR(IF((POZICIE_INTERNE!$B$52-12*('TCO TO BE- SW'!$D155-1))&gt;12,((M$4+'TCO TO BE - HW'!M$4)/($E$4+'TCO TO BE - HW'!$E$4)*SUM(POZICIE_INTERNE!$I$52:$I$63))/POZICIE_INTERNE!$B$52*12,IF((POZICIE_INTERNE!$B$52-12*('TCO TO BE- SW'!$D155-1))&lt;0,0,(POZICIE_INTERNE!$B$52-12*('TCO TO BE- SW'!$D155-1))*((M$4+'TCO TO BE - HW'!M$4)/($E$4+'TCO TO BE - HW'!$E$4)*SUM(POZICIE_INTERNE!$I$52:$I$63))/POZICIE_INTERNE!$B$52)),0)+IFERROR(IF((AKTIVITY_POZICIE!$B$53-12*('TCO TO BE- SW'!$D155-1))&gt;12,((M$4+'TCO TO BE - HW'!M$4)/($E$4+'TCO TO BE - HW'!$E$4)*SUM(AKTIVITY_POZICIE!$M$53:$M$64))/AKTIVITY_POZICIE!$B$41*12,IF((AKTIVITY_POZICIE!$B$53-12*('TCO TO BE- SW'!$D155-1))&lt;0,0,(AKTIVITY_POZICIE!$B$53-12*('TCO TO BE- SW'!$D155-1))*((M$4+'TCO TO BE - HW'!M$4)/($E$4+'TCO TO BE - HW'!$E$4)*SUM(AKTIVITY_POZICIE!$M$53:$M$64))/AKTIVITY_POZICIE!$B$53)),0)</f>
        <v>0</v>
      </c>
      <c r="N165" s="577">
        <f>IFERROR(IF((POZICIE_INTERNE!$B$52-12*('TCO TO BE- SW'!$D155-1))&gt;12,((N$4+'TCO TO BE - HW'!N$4)/($E$4+'TCO TO BE - HW'!$E$4)*SUM(POZICIE_INTERNE!$I$52:$I$63))/POZICIE_INTERNE!$B$52*12,IF((POZICIE_INTERNE!$B$52-12*('TCO TO BE- SW'!$D155-1))&lt;0,0,(POZICIE_INTERNE!$B$52-12*('TCO TO BE- SW'!$D155-1))*((N$4+'TCO TO BE - HW'!N$4)/($E$4+'TCO TO BE - HW'!$E$4)*SUM(POZICIE_INTERNE!$I$52:$I$63))/POZICIE_INTERNE!$B$52)),0)+IFERROR(IF((AKTIVITY_POZICIE!$B$53-12*('TCO TO BE- SW'!$D155-1))&gt;12,((N$4+'TCO TO BE - HW'!N$4)/($E$4+'TCO TO BE - HW'!$E$4)*SUM(AKTIVITY_POZICIE!$M$53:$M$64))/AKTIVITY_POZICIE!$B$41*12,IF((AKTIVITY_POZICIE!$B$53-12*('TCO TO BE- SW'!$D155-1))&lt;0,0,(AKTIVITY_POZICIE!$B$53-12*('TCO TO BE- SW'!$D155-1))*((N$4+'TCO TO BE - HW'!N$4)/($E$4+'TCO TO BE - HW'!$E$4)*SUM(AKTIVITY_POZICIE!$M$53:$M$64))/AKTIVITY_POZICIE!$B$53)),0)</f>
        <v>0</v>
      </c>
      <c r="O165" s="577">
        <f>IFERROR(IF((POZICIE_INTERNE!$B$52-12*('TCO TO BE- SW'!$D155-1))&gt;12,((O$4+'TCO TO BE - HW'!O$4)/($E$4+'TCO TO BE - HW'!$E$4)*SUM(POZICIE_INTERNE!$I$52:$I$63))/POZICIE_INTERNE!$B$52*12,IF((POZICIE_INTERNE!$B$52-12*('TCO TO BE- SW'!$D155-1))&lt;0,0,(POZICIE_INTERNE!$B$52-12*('TCO TO BE- SW'!$D155-1))*((O$4+'TCO TO BE - HW'!O$4)/($E$4+'TCO TO BE - HW'!$E$4)*SUM(POZICIE_INTERNE!$I$52:$I$63))/POZICIE_INTERNE!$B$52)),0)+IFERROR(IF((AKTIVITY_POZICIE!$B$53-12*('TCO TO BE- SW'!$D155-1))&gt;12,((O$4+'TCO TO BE - HW'!O$4)/($E$4+'TCO TO BE - HW'!$E$4)*SUM(AKTIVITY_POZICIE!$M$53:$M$64))/AKTIVITY_POZICIE!$B$41*12,IF((AKTIVITY_POZICIE!$B$53-12*('TCO TO BE- SW'!$D155-1))&lt;0,0,(AKTIVITY_POZICIE!$B$53-12*('TCO TO BE- SW'!$D155-1))*((O$4+'TCO TO BE - HW'!O$4)/($E$4+'TCO TO BE - HW'!$E$4)*SUM(AKTIVITY_POZICIE!$M$53:$M$64))/AKTIVITY_POZICIE!$B$53)),0)</f>
        <v>0</v>
      </c>
      <c r="P165" s="577">
        <f>IFERROR(IF((POZICIE_INTERNE!$B$52-12*('TCO TO BE- SW'!$D155-1))&gt;12,((P$4+'TCO TO BE - HW'!P$4)/($E$4+'TCO TO BE - HW'!$E$4)*SUM(POZICIE_INTERNE!$I$52:$I$63))/POZICIE_INTERNE!$B$52*12,IF((POZICIE_INTERNE!$B$52-12*('TCO TO BE- SW'!$D155-1))&lt;0,0,(POZICIE_INTERNE!$B$52-12*('TCO TO BE- SW'!$D155-1))*((P$4+'TCO TO BE - HW'!P$4)/($E$4+'TCO TO BE - HW'!$E$4)*SUM(POZICIE_INTERNE!$I$52:$I$63))/POZICIE_INTERNE!$B$52)),0)+IFERROR(IF((AKTIVITY_POZICIE!$B$53-12*('TCO TO BE- SW'!$D155-1))&gt;12,((P$4+'TCO TO BE - HW'!P$4)/($E$4+'TCO TO BE - HW'!$E$4)*SUM(AKTIVITY_POZICIE!$M$53:$M$64))/AKTIVITY_POZICIE!$B$41*12,IF((AKTIVITY_POZICIE!$B$53-12*('TCO TO BE- SW'!$D155-1))&lt;0,0,(AKTIVITY_POZICIE!$B$53-12*('TCO TO BE- SW'!$D155-1))*((P$4+'TCO TO BE - HW'!P$4)/($E$4+'TCO TO BE - HW'!$E$4)*SUM(AKTIVITY_POZICIE!$M$53:$M$64))/AKTIVITY_POZICIE!$B$53)),0)</f>
        <v>0</v>
      </c>
      <c r="Q165" s="577">
        <f>IFERROR(IF((POZICIE_INTERNE!$B$52-12*('TCO TO BE- SW'!$D155-1))&gt;12,((Q$4+'TCO TO BE - HW'!Q$4)/($E$4+'TCO TO BE - HW'!$E$4)*SUM(POZICIE_INTERNE!$I$52:$I$63))/POZICIE_INTERNE!$B$52*12,IF((POZICIE_INTERNE!$B$52-12*('TCO TO BE- SW'!$D155-1))&lt;0,0,(POZICIE_INTERNE!$B$52-12*('TCO TO BE- SW'!$D155-1))*((Q$4+'TCO TO BE - HW'!Q$4)/($E$4+'TCO TO BE - HW'!$E$4)*SUM(POZICIE_INTERNE!$I$52:$I$63))/POZICIE_INTERNE!$B$52)),0)+IFERROR(IF((AKTIVITY_POZICIE!$B$53-12*('TCO TO BE- SW'!$D155-1))&gt;12,((Q$4+'TCO TO BE - HW'!Q$4)/($E$4+'TCO TO BE - HW'!$E$4)*SUM(AKTIVITY_POZICIE!$M$53:$M$64))/AKTIVITY_POZICIE!$B$41*12,IF((AKTIVITY_POZICIE!$B$53-12*('TCO TO BE- SW'!$D155-1))&lt;0,0,(AKTIVITY_POZICIE!$B$53-12*('TCO TO BE- SW'!$D155-1))*((Q$4+'TCO TO BE - HW'!Q$4)/($E$4+'TCO TO BE - HW'!$E$4)*SUM(AKTIVITY_POZICIE!$M$53:$M$64))/AKTIVITY_POZICIE!$B$53)),0)</f>
        <v>0</v>
      </c>
      <c r="R165" s="577">
        <f>IFERROR(IF((POZICIE_INTERNE!$B$52-12*('TCO TO BE- SW'!$D155-1))&gt;12,((R$4+'TCO TO BE - HW'!R$4)/($E$4+'TCO TO BE - HW'!$E$4)*SUM(POZICIE_INTERNE!$I$52:$I$63))/POZICIE_INTERNE!$B$52*12,IF((POZICIE_INTERNE!$B$52-12*('TCO TO BE- SW'!$D155-1))&lt;0,0,(POZICIE_INTERNE!$B$52-12*('TCO TO BE- SW'!$D155-1))*((R$4+'TCO TO BE - HW'!R$4)/($E$4+'TCO TO BE - HW'!$E$4)*SUM(POZICIE_INTERNE!$I$52:$I$63))/POZICIE_INTERNE!$B$52)),0)+IFERROR(IF((AKTIVITY_POZICIE!$B$53-12*('TCO TO BE- SW'!$D155-1))&gt;12,((R$4+'TCO TO BE - HW'!R$4)/($E$4+'TCO TO BE - HW'!$E$4)*SUM(AKTIVITY_POZICIE!$M$53:$M$64))/AKTIVITY_POZICIE!$B$41*12,IF((AKTIVITY_POZICIE!$B$53-12*('TCO TO BE- SW'!$D155-1))&lt;0,0,(AKTIVITY_POZICIE!$B$53-12*('TCO TO BE- SW'!$D155-1))*((R$4+'TCO TO BE - HW'!R$4)/($E$4+'TCO TO BE - HW'!$E$4)*SUM(AKTIVITY_POZICIE!$M$53:$M$64))/AKTIVITY_POZICIE!$B$53)),0)</f>
        <v>0</v>
      </c>
      <c r="S165" s="577">
        <f>IFERROR(IF((POZICIE_INTERNE!$B$52-12*('TCO TO BE- SW'!$D155-1))&gt;12,((S$4+'TCO TO BE - HW'!S$4)/($E$4+'TCO TO BE - HW'!$E$4)*SUM(POZICIE_INTERNE!$I$52:$I$63))/POZICIE_INTERNE!$B$52*12,IF((POZICIE_INTERNE!$B$52-12*('TCO TO BE- SW'!$D155-1))&lt;0,0,(POZICIE_INTERNE!$B$52-12*('TCO TO BE- SW'!$D155-1))*((S$4+'TCO TO BE - HW'!S$4)/($E$4+'TCO TO BE - HW'!$E$4)*SUM(POZICIE_INTERNE!$I$52:$I$63))/POZICIE_INTERNE!$B$52)),0)+IFERROR(IF((AKTIVITY_POZICIE!$B$53-12*('TCO TO BE- SW'!$D155-1))&gt;12,((S$4+'TCO TO BE - HW'!S$4)/($E$4+'TCO TO BE - HW'!$E$4)*SUM(AKTIVITY_POZICIE!$M$53:$M$64))/AKTIVITY_POZICIE!$B$41*12,IF((AKTIVITY_POZICIE!$B$53-12*('TCO TO BE- SW'!$D155-1))&lt;0,0,(AKTIVITY_POZICIE!$B$53-12*('TCO TO BE- SW'!$D155-1))*((S$4+'TCO TO BE - HW'!S$4)/($E$4+'TCO TO BE - HW'!$E$4)*SUM(AKTIVITY_POZICIE!$M$53:$M$64))/AKTIVITY_POZICIE!$B$53)),0)</f>
        <v>0</v>
      </c>
      <c r="T165" s="577">
        <f>IFERROR(IF((POZICIE_INTERNE!$B$52-12*('TCO TO BE- SW'!$D155-1))&gt;12,((T$4+'TCO TO BE - HW'!T$4)/($E$4+'TCO TO BE - HW'!$E$4)*SUM(POZICIE_INTERNE!$I$52:$I$63))/POZICIE_INTERNE!$B$52*12,IF((POZICIE_INTERNE!$B$52-12*('TCO TO BE- SW'!$D155-1))&lt;0,0,(POZICIE_INTERNE!$B$52-12*('TCO TO BE- SW'!$D155-1))*((T$4+'TCO TO BE - HW'!T$4)/($E$4+'TCO TO BE - HW'!$E$4)*SUM(POZICIE_INTERNE!$I$52:$I$63))/POZICIE_INTERNE!$B$52)),0)+IFERROR(IF((AKTIVITY_POZICIE!$B$53-12*('TCO TO BE- SW'!$D155-1))&gt;12,((T$4+'TCO TO BE - HW'!T$4)/($E$4+'TCO TO BE - HW'!$E$4)*SUM(AKTIVITY_POZICIE!$M$53:$M$64))/AKTIVITY_POZICIE!$B$41*12,IF((AKTIVITY_POZICIE!$B$53-12*('TCO TO BE- SW'!$D155-1))&lt;0,0,(AKTIVITY_POZICIE!$B$53-12*('TCO TO BE- SW'!$D155-1))*((T$4+'TCO TO BE - HW'!T$4)/($E$4+'TCO TO BE - HW'!$E$4)*SUM(AKTIVITY_POZICIE!$M$53:$M$64))/AKTIVITY_POZICIE!$B$53)),0)</f>
        <v>0</v>
      </c>
      <c r="U165" s="577">
        <f>IFERROR(IF((POZICIE_INTERNE!$B$52-12*('TCO TO BE- SW'!$D155-1))&gt;12,((U$4+'TCO TO BE - HW'!U$4)/($E$4+'TCO TO BE - HW'!$E$4)*SUM(POZICIE_INTERNE!$I$52:$I$63))/POZICIE_INTERNE!$B$52*12,IF((POZICIE_INTERNE!$B$52-12*('TCO TO BE- SW'!$D155-1))&lt;0,0,(POZICIE_INTERNE!$B$52-12*('TCO TO BE- SW'!$D155-1))*((U$4+'TCO TO BE - HW'!U$4)/($E$4+'TCO TO BE - HW'!$E$4)*SUM(POZICIE_INTERNE!$I$52:$I$63))/POZICIE_INTERNE!$B$52)),0)+IFERROR(IF((AKTIVITY_POZICIE!$B$53-12*('TCO TO BE- SW'!$D155-1))&gt;12,((U$4+'TCO TO BE - HW'!U$4)/($E$4+'TCO TO BE - HW'!$E$4)*SUM(AKTIVITY_POZICIE!$M$53:$M$64))/AKTIVITY_POZICIE!$B$41*12,IF((AKTIVITY_POZICIE!$B$53-12*('TCO TO BE- SW'!$D155-1))&lt;0,0,(AKTIVITY_POZICIE!$B$53-12*('TCO TO BE- SW'!$D155-1))*((U$4+'TCO TO BE - HW'!U$4)/($E$4+'TCO TO BE - HW'!$E$4)*SUM(AKTIVITY_POZICIE!$M$53:$M$64))/AKTIVITY_POZICIE!$B$53)),0)</f>
        <v>0</v>
      </c>
      <c r="V165" s="577">
        <f>IFERROR(IF((POZICIE_INTERNE!$B$52-12*('TCO TO BE- SW'!$D155-1))&gt;12,((V$4+'TCO TO BE - HW'!V$4)/($E$4+'TCO TO BE - HW'!$E$4)*SUM(POZICIE_INTERNE!$I$52:$I$63))/POZICIE_INTERNE!$B$52*12,IF((POZICIE_INTERNE!$B$52-12*('TCO TO BE- SW'!$D155-1))&lt;0,0,(POZICIE_INTERNE!$B$52-12*('TCO TO BE- SW'!$D155-1))*((V$4+'TCO TO BE - HW'!V$4)/($E$4+'TCO TO BE - HW'!$E$4)*SUM(POZICIE_INTERNE!$I$52:$I$63))/POZICIE_INTERNE!$B$52)),0)+IFERROR(IF((AKTIVITY_POZICIE!$B$53-12*('TCO TO BE- SW'!$D155-1))&gt;12,((V$4+'TCO TO BE - HW'!V$4)/($E$4+'TCO TO BE - HW'!$E$4)*SUM(AKTIVITY_POZICIE!$M$53:$M$64))/AKTIVITY_POZICIE!$B$41*12,IF((AKTIVITY_POZICIE!$B$53-12*('TCO TO BE- SW'!$D155-1))&lt;0,0,(AKTIVITY_POZICIE!$B$53-12*('TCO TO BE- SW'!$D155-1))*((V$4+'TCO TO BE - HW'!V$4)/($E$4+'TCO TO BE - HW'!$E$4)*SUM(AKTIVITY_POZICIE!$M$53:$M$64))/AKTIVITY_POZICIE!$B$53)),0)</f>
        <v>0</v>
      </c>
      <c r="W165" s="577">
        <f>IFERROR(IF((POZICIE_INTERNE!$B$52-12*('TCO TO BE- SW'!$D155-1))&gt;12,((W$4+'TCO TO BE - HW'!W$4)/($E$4+'TCO TO BE - HW'!$E$4)*SUM(POZICIE_INTERNE!$I$52:$I$63))/POZICIE_INTERNE!$B$52*12,IF((POZICIE_INTERNE!$B$52-12*('TCO TO BE- SW'!$D155-1))&lt;0,0,(POZICIE_INTERNE!$B$52-12*('TCO TO BE- SW'!$D155-1))*((W$4+'TCO TO BE - HW'!W$4)/($E$4+'TCO TO BE - HW'!$E$4)*SUM(POZICIE_INTERNE!$I$52:$I$63))/POZICIE_INTERNE!$B$52)),0)+IFERROR(IF((AKTIVITY_POZICIE!$B$53-12*('TCO TO BE- SW'!$D155-1))&gt;12,((W$4+'TCO TO BE - HW'!W$4)/($E$4+'TCO TO BE - HW'!$E$4)*SUM(AKTIVITY_POZICIE!$M$53:$M$64))/AKTIVITY_POZICIE!$B$41*12,IF((AKTIVITY_POZICIE!$B$53-12*('TCO TO BE- SW'!$D155-1))&lt;0,0,(AKTIVITY_POZICIE!$B$53-12*('TCO TO BE- SW'!$D155-1))*((W$4+'TCO TO BE - HW'!W$4)/($E$4+'TCO TO BE - HW'!$E$4)*SUM(AKTIVITY_POZICIE!$M$53:$M$64))/AKTIVITY_POZICIE!$B$53)),0)</f>
        <v>0</v>
      </c>
      <c r="X165" s="577">
        <f>IFERROR(IF((POZICIE_INTERNE!$B$52-12*('TCO TO BE- SW'!$D155-1))&gt;12,((X$4+'TCO TO BE - HW'!X$4)/($E$4+'TCO TO BE - HW'!$E$4)*SUM(POZICIE_INTERNE!$I$52:$I$63))/POZICIE_INTERNE!$B$52*12,IF((POZICIE_INTERNE!$B$52-12*('TCO TO BE- SW'!$D155-1))&lt;0,0,(POZICIE_INTERNE!$B$52-12*('TCO TO BE- SW'!$D155-1))*((X$4+'TCO TO BE - HW'!X$4)/($E$4+'TCO TO BE - HW'!$E$4)*SUM(POZICIE_INTERNE!$I$52:$I$63))/POZICIE_INTERNE!$B$52)),0)+IFERROR(IF((AKTIVITY_POZICIE!$B$53-12*('TCO TO BE- SW'!$D155-1))&gt;12,((X$4+'TCO TO BE - HW'!X$4)/($E$4+'TCO TO BE - HW'!$E$4)*SUM(AKTIVITY_POZICIE!$M$53:$M$64))/AKTIVITY_POZICIE!$B$41*12,IF((AKTIVITY_POZICIE!$B$53-12*('TCO TO BE- SW'!$D155-1))&lt;0,0,(AKTIVITY_POZICIE!$B$53-12*('TCO TO BE- SW'!$D155-1))*((X$4+'TCO TO BE - HW'!X$4)/($E$4+'TCO TO BE - HW'!$E$4)*SUM(AKTIVITY_POZICIE!$M$53:$M$64))/AKTIVITY_POZICIE!$B$53)),0)</f>
        <v>0</v>
      </c>
      <c r="Y165" s="577">
        <f>IFERROR(IF((POZICIE_INTERNE!$B$52-12*('TCO TO BE- SW'!$D155-1))&gt;12,((Y$4+'TCO TO BE - HW'!Y$4)/($E$4+'TCO TO BE - HW'!$E$4)*SUM(POZICIE_INTERNE!$I$52:$I$63))/POZICIE_INTERNE!$B$52*12,IF((POZICIE_INTERNE!$B$52-12*('TCO TO BE- SW'!$D155-1))&lt;0,0,(POZICIE_INTERNE!$B$52-12*('TCO TO BE- SW'!$D155-1))*((Y$4+'TCO TO BE - HW'!Y$4)/($E$4+'TCO TO BE - HW'!$E$4)*SUM(POZICIE_INTERNE!$I$52:$I$63))/POZICIE_INTERNE!$B$52)),0)+IFERROR(IF((AKTIVITY_POZICIE!$B$53-12*('TCO TO BE- SW'!$D155-1))&gt;12,((Y$4+'TCO TO BE - HW'!Y$4)/($E$4+'TCO TO BE - HW'!$E$4)*SUM(AKTIVITY_POZICIE!$M$53:$M$64))/AKTIVITY_POZICIE!$B$41*12,IF((AKTIVITY_POZICIE!$B$53-12*('TCO TO BE- SW'!$D155-1))&lt;0,0,(AKTIVITY_POZICIE!$B$53-12*('TCO TO BE- SW'!$D155-1))*((Y$4+'TCO TO BE - HW'!Y$4)/($E$4+'TCO TO BE - HW'!$E$4)*SUM(AKTIVITY_POZICIE!$M$53:$M$64))/AKTIVITY_POZICIE!$B$53)),0)</f>
        <v>0</v>
      </c>
      <c r="Z165" s="577">
        <f>IFERROR(IF((POZICIE_INTERNE!$B$52-12*('TCO TO BE- SW'!$D155-1))&gt;12,((Z$4+'TCO TO BE - HW'!Z$4)/($E$4+'TCO TO BE - HW'!$E$4)*SUM(POZICIE_INTERNE!$I$52:$I$63))/POZICIE_INTERNE!$B$52*12,IF((POZICIE_INTERNE!$B$52-12*('TCO TO BE- SW'!$D155-1))&lt;0,0,(POZICIE_INTERNE!$B$52-12*('TCO TO BE- SW'!$D155-1))*((Z$4+'TCO TO BE - HW'!Z$4)/($E$4+'TCO TO BE - HW'!$E$4)*SUM(POZICIE_INTERNE!$I$52:$I$63))/POZICIE_INTERNE!$B$52)),0)+IFERROR(IF((AKTIVITY_POZICIE!$B$53-12*('TCO TO BE- SW'!$D155-1))&gt;12,((Z$4+'TCO TO BE - HW'!Z$4)/($E$4+'TCO TO BE - HW'!$E$4)*SUM(AKTIVITY_POZICIE!$M$53:$M$64))/AKTIVITY_POZICIE!$B$41*12,IF((AKTIVITY_POZICIE!$B$53-12*('TCO TO BE- SW'!$D155-1))&lt;0,0,(AKTIVITY_POZICIE!$B$53-12*('TCO TO BE- SW'!$D155-1))*((Z$4+'TCO TO BE - HW'!Z$4)/($E$4+'TCO TO BE - HW'!$E$4)*SUM(AKTIVITY_POZICIE!$M$53:$M$64))/AKTIVITY_POZICIE!$B$53)),0)</f>
        <v>0</v>
      </c>
    </row>
    <row r="166" spans="1:26">
      <c r="A166" s="824"/>
      <c r="B166" s="825"/>
      <c r="C166" s="825"/>
      <c r="D166" s="64">
        <v>6</v>
      </c>
      <c r="E166" s="68">
        <f t="shared" si="16"/>
        <v>0</v>
      </c>
      <c r="F166" s="577">
        <f>IFERROR(IF((POZICIE_INTERNE!$B$52-12*('TCO TO BE- SW'!$D156-1))&gt;12,((F$4+'TCO TO BE - HW'!F$4)/($E$4+'TCO TO BE - HW'!$E$4)*SUM(POZICIE_INTERNE!$I$52:$I$63))/POZICIE_INTERNE!$B$52*12,IF((POZICIE_INTERNE!$B$52-12*('TCO TO BE- SW'!$D156-1))&lt;0,0,(POZICIE_INTERNE!$B$52-12*('TCO TO BE- SW'!$D156-1))*((F$4+'TCO TO BE - HW'!F$4)/($E$4+'TCO TO BE - HW'!$E$4)*SUM(POZICIE_INTERNE!$I$52:$I$63))/POZICIE_INTERNE!$B$52)),0)+IFERROR(IF((AKTIVITY_POZICIE!$B$53-12*('TCO TO BE- SW'!$D156-1))&gt;12,((F$4+'TCO TO BE - HW'!F$4)/($E$4+'TCO TO BE - HW'!$E$4)*SUM(AKTIVITY_POZICIE!$M$53:$M$64))/AKTIVITY_POZICIE!$B$41*12,IF((AKTIVITY_POZICIE!$B$53-12*('TCO TO BE- SW'!$D156-1))&lt;0,0,(AKTIVITY_POZICIE!$B$53-12*('TCO TO BE- SW'!$D156-1))*((F$4+'TCO TO BE - HW'!F$4)/($E$4+'TCO TO BE - HW'!$E$4)*SUM(AKTIVITY_POZICIE!$M$53:$M$64))/AKTIVITY_POZICIE!$B$53)),0)</f>
        <v>0</v>
      </c>
      <c r="G166" s="577">
        <f>IFERROR(IF((POZICIE_INTERNE!$B$52-12*('TCO TO BE- SW'!$D156-1))&gt;12,((G$4+'TCO TO BE - HW'!G$4)/($E$4+'TCO TO BE - HW'!$E$4)*SUM(POZICIE_INTERNE!$I$52:$I$63))/POZICIE_INTERNE!$B$52*12,IF((POZICIE_INTERNE!$B$52-12*('TCO TO BE- SW'!$D156-1))&lt;0,0,(POZICIE_INTERNE!$B$52-12*('TCO TO BE- SW'!$D156-1))*((G$4+'TCO TO BE - HW'!G$4)/($E$4+'TCO TO BE - HW'!$E$4)*SUM(POZICIE_INTERNE!$I$52:$I$63))/POZICIE_INTERNE!$B$52)),0)+IFERROR(IF((AKTIVITY_POZICIE!$B$53-12*('TCO TO BE- SW'!$D156-1))&gt;12,((G$4+'TCO TO BE - HW'!G$4)/($E$4+'TCO TO BE - HW'!$E$4)*SUM(AKTIVITY_POZICIE!$M$53:$M$64))/AKTIVITY_POZICIE!$B$41*12,IF((AKTIVITY_POZICIE!$B$53-12*('TCO TO BE- SW'!$D156-1))&lt;0,0,(AKTIVITY_POZICIE!$B$53-12*('TCO TO BE- SW'!$D156-1))*((G$4+'TCO TO BE - HW'!G$4)/($E$4+'TCO TO BE - HW'!$E$4)*SUM(AKTIVITY_POZICIE!$M$53:$M$64))/AKTIVITY_POZICIE!$B$53)),0)</f>
        <v>0</v>
      </c>
      <c r="H166" s="577">
        <f>IFERROR(IF((POZICIE_INTERNE!$B$52-12*('TCO TO BE- SW'!$D156-1))&gt;12,((H$4+'TCO TO BE - HW'!H$4)/($E$4+'TCO TO BE - HW'!$E$4)*SUM(POZICIE_INTERNE!$I$52:$I$63))/POZICIE_INTERNE!$B$52*12,IF((POZICIE_INTERNE!$B$52-12*('TCO TO BE- SW'!$D156-1))&lt;0,0,(POZICIE_INTERNE!$B$52-12*('TCO TO BE- SW'!$D156-1))*((H$4+'TCO TO BE - HW'!H$4)/($E$4+'TCO TO BE - HW'!$E$4)*SUM(POZICIE_INTERNE!$I$52:$I$63))/POZICIE_INTERNE!$B$52)),0)+IFERROR(IF((AKTIVITY_POZICIE!$B$53-12*('TCO TO BE- SW'!$D156-1))&gt;12,((H$4+'TCO TO BE - HW'!H$4)/($E$4+'TCO TO BE - HW'!$E$4)*SUM(AKTIVITY_POZICIE!$M$53:$M$64))/AKTIVITY_POZICIE!$B$41*12,IF((AKTIVITY_POZICIE!$B$53-12*('TCO TO BE- SW'!$D156-1))&lt;0,0,(AKTIVITY_POZICIE!$B$53-12*('TCO TO BE- SW'!$D156-1))*((H$4+'TCO TO BE - HW'!H$4)/($E$4+'TCO TO BE - HW'!$E$4)*SUM(AKTIVITY_POZICIE!$M$53:$M$64))/AKTIVITY_POZICIE!$B$53)),0)</f>
        <v>0</v>
      </c>
      <c r="I166" s="577">
        <f>IFERROR(IF((POZICIE_INTERNE!$B$52-12*('TCO TO BE- SW'!$D156-1))&gt;12,((I$4+'TCO TO BE - HW'!I$4)/($E$4+'TCO TO BE - HW'!$E$4)*SUM(POZICIE_INTERNE!$I$52:$I$63))/POZICIE_INTERNE!$B$52*12,IF((POZICIE_INTERNE!$B$52-12*('TCO TO BE- SW'!$D156-1))&lt;0,0,(POZICIE_INTERNE!$B$52-12*('TCO TO BE- SW'!$D156-1))*((I$4+'TCO TO BE - HW'!I$4)/($E$4+'TCO TO BE - HW'!$E$4)*SUM(POZICIE_INTERNE!$I$52:$I$63))/POZICIE_INTERNE!$B$52)),0)+IFERROR(IF((AKTIVITY_POZICIE!$B$53-12*('TCO TO BE- SW'!$D156-1))&gt;12,((I$4+'TCO TO BE - HW'!I$4)/($E$4+'TCO TO BE - HW'!$E$4)*SUM(AKTIVITY_POZICIE!$M$53:$M$64))/AKTIVITY_POZICIE!$B$41*12,IF((AKTIVITY_POZICIE!$B$53-12*('TCO TO BE- SW'!$D156-1))&lt;0,0,(AKTIVITY_POZICIE!$B$53-12*('TCO TO BE- SW'!$D156-1))*((I$4+'TCO TO BE - HW'!I$4)/($E$4+'TCO TO BE - HW'!$E$4)*SUM(AKTIVITY_POZICIE!$M$53:$M$64))/AKTIVITY_POZICIE!$B$53)),0)</f>
        <v>0</v>
      </c>
      <c r="J166" s="577">
        <f>IFERROR(IF((POZICIE_INTERNE!$B$52-12*('TCO TO BE- SW'!$D156-1))&gt;12,((J$4+'TCO TO BE - HW'!J$4)/($E$4+'TCO TO BE - HW'!$E$4)*SUM(POZICIE_INTERNE!$I$52:$I$63))/POZICIE_INTERNE!$B$52*12,IF((POZICIE_INTERNE!$B$52-12*('TCO TO BE- SW'!$D156-1))&lt;0,0,(POZICIE_INTERNE!$B$52-12*('TCO TO BE- SW'!$D156-1))*((J$4+'TCO TO BE - HW'!J$4)/($E$4+'TCO TO BE - HW'!$E$4)*SUM(POZICIE_INTERNE!$I$52:$I$63))/POZICIE_INTERNE!$B$52)),0)+IFERROR(IF((AKTIVITY_POZICIE!$B$53-12*('TCO TO BE- SW'!$D156-1))&gt;12,((J$4+'TCO TO BE - HW'!J$4)/($E$4+'TCO TO BE - HW'!$E$4)*SUM(AKTIVITY_POZICIE!$M$53:$M$64))/AKTIVITY_POZICIE!$B$41*12,IF((AKTIVITY_POZICIE!$B$53-12*('TCO TO BE- SW'!$D156-1))&lt;0,0,(AKTIVITY_POZICIE!$B$53-12*('TCO TO BE- SW'!$D156-1))*((J$4+'TCO TO BE - HW'!J$4)/($E$4+'TCO TO BE - HW'!$E$4)*SUM(AKTIVITY_POZICIE!$M$53:$M$64))/AKTIVITY_POZICIE!$B$53)),0)</f>
        <v>0</v>
      </c>
      <c r="K166" s="577">
        <f>IFERROR(IF((POZICIE_INTERNE!$B$52-12*('TCO TO BE- SW'!$D156-1))&gt;12,((K$4+'TCO TO BE - HW'!K$4)/($E$4+'TCO TO BE - HW'!$E$4)*SUM(POZICIE_INTERNE!$I$52:$I$63))/POZICIE_INTERNE!$B$52*12,IF((POZICIE_INTERNE!$B$52-12*('TCO TO BE- SW'!$D156-1))&lt;0,0,(POZICIE_INTERNE!$B$52-12*('TCO TO BE- SW'!$D156-1))*((K$4+'TCO TO BE - HW'!K$4)/($E$4+'TCO TO BE - HW'!$E$4)*SUM(POZICIE_INTERNE!$I$52:$I$63))/POZICIE_INTERNE!$B$52)),0)+IFERROR(IF((AKTIVITY_POZICIE!$B$53-12*('TCO TO BE- SW'!$D156-1))&gt;12,((K$4+'TCO TO BE - HW'!K$4)/($E$4+'TCO TO BE - HW'!$E$4)*SUM(AKTIVITY_POZICIE!$M$53:$M$64))/AKTIVITY_POZICIE!$B$41*12,IF((AKTIVITY_POZICIE!$B$53-12*('TCO TO BE- SW'!$D156-1))&lt;0,0,(AKTIVITY_POZICIE!$B$53-12*('TCO TO BE- SW'!$D156-1))*((K$4+'TCO TO BE - HW'!K$4)/($E$4+'TCO TO BE - HW'!$E$4)*SUM(AKTIVITY_POZICIE!$M$53:$M$64))/AKTIVITY_POZICIE!$B$53)),0)</f>
        <v>0</v>
      </c>
      <c r="L166" s="577">
        <f>IFERROR(IF((POZICIE_INTERNE!$B$52-12*('TCO TO BE- SW'!$D156-1))&gt;12,((L$4+'TCO TO BE - HW'!L$4)/($E$4+'TCO TO BE - HW'!$E$4)*SUM(POZICIE_INTERNE!$I$52:$I$63))/POZICIE_INTERNE!$B$52*12,IF((POZICIE_INTERNE!$B$52-12*('TCO TO BE- SW'!$D156-1))&lt;0,0,(POZICIE_INTERNE!$B$52-12*('TCO TO BE- SW'!$D156-1))*((L$4+'TCO TO BE - HW'!L$4)/($E$4+'TCO TO BE - HW'!$E$4)*SUM(POZICIE_INTERNE!$I$52:$I$63))/POZICIE_INTERNE!$B$52)),0)+IFERROR(IF((AKTIVITY_POZICIE!$B$53-12*('TCO TO BE- SW'!$D156-1))&gt;12,((L$4+'TCO TO BE - HW'!L$4)/($E$4+'TCO TO BE - HW'!$E$4)*SUM(AKTIVITY_POZICIE!$M$53:$M$64))/AKTIVITY_POZICIE!$B$41*12,IF((AKTIVITY_POZICIE!$B$53-12*('TCO TO BE- SW'!$D156-1))&lt;0,0,(AKTIVITY_POZICIE!$B$53-12*('TCO TO BE- SW'!$D156-1))*((L$4+'TCO TO BE - HW'!L$4)/($E$4+'TCO TO BE - HW'!$E$4)*SUM(AKTIVITY_POZICIE!$M$53:$M$64))/AKTIVITY_POZICIE!$B$53)),0)</f>
        <v>0</v>
      </c>
      <c r="M166" s="577">
        <f>IFERROR(IF((POZICIE_INTERNE!$B$52-12*('TCO TO BE- SW'!$D156-1))&gt;12,((M$4+'TCO TO BE - HW'!M$4)/($E$4+'TCO TO BE - HW'!$E$4)*SUM(POZICIE_INTERNE!$I$52:$I$63))/POZICIE_INTERNE!$B$52*12,IF((POZICIE_INTERNE!$B$52-12*('TCO TO BE- SW'!$D156-1))&lt;0,0,(POZICIE_INTERNE!$B$52-12*('TCO TO BE- SW'!$D156-1))*((M$4+'TCO TO BE - HW'!M$4)/($E$4+'TCO TO BE - HW'!$E$4)*SUM(POZICIE_INTERNE!$I$52:$I$63))/POZICIE_INTERNE!$B$52)),0)+IFERROR(IF((AKTIVITY_POZICIE!$B$53-12*('TCO TO BE- SW'!$D156-1))&gt;12,((M$4+'TCO TO BE - HW'!M$4)/($E$4+'TCO TO BE - HW'!$E$4)*SUM(AKTIVITY_POZICIE!$M$53:$M$64))/AKTIVITY_POZICIE!$B$41*12,IF((AKTIVITY_POZICIE!$B$53-12*('TCO TO BE- SW'!$D156-1))&lt;0,0,(AKTIVITY_POZICIE!$B$53-12*('TCO TO BE- SW'!$D156-1))*((M$4+'TCO TO BE - HW'!M$4)/($E$4+'TCO TO BE - HW'!$E$4)*SUM(AKTIVITY_POZICIE!$M$53:$M$64))/AKTIVITY_POZICIE!$B$53)),0)</f>
        <v>0</v>
      </c>
      <c r="N166" s="577">
        <f>IFERROR(IF((POZICIE_INTERNE!$B$52-12*('TCO TO BE- SW'!$D156-1))&gt;12,((N$4+'TCO TO BE - HW'!N$4)/($E$4+'TCO TO BE - HW'!$E$4)*SUM(POZICIE_INTERNE!$I$52:$I$63))/POZICIE_INTERNE!$B$52*12,IF((POZICIE_INTERNE!$B$52-12*('TCO TO BE- SW'!$D156-1))&lt;0,0,(POZICIE_INTERNE!$B$52-12*('TCO TO BE- SW'!$D156-1))*((N$4+'TCO TO BE - HW'!N$4)/($E$4+'TCO TO BE - HW'!$E$4)*SUM(POZICIE_INTERNE!$I$52:$I$63))/POZICIE_INTERNE!$B$52)),0)+IFERROR(IF((AKTIVITY_POZICIE!$B$53-12*('TCO TO BE- SW'!$D156-1))&gt;12,((N$4+'TCO TO BE - HW'!N$4)/($E$4+'TCO TO BE - HW'!$E$4)*SUM(AKTIVITY_POZICIE!$M$53:$M$64))/AKTIVITY_POZICIE!$B$41*12,IF((AKTIVITY_POZICIE!$B$53-12*('TCO TO BE- SW'!$D156-1))&lt;0,0,(AKTIVITY_POZICIE!$B$53-12*('TCO TO BE- SW'!$D156-1))*((N$4+'TCO TO BE - HW'!N$4)/($E$4+'TCO TO BE - HW'!$E$4)*SUM(AKTIVITY_POZICIE!$M$53:$M$64))/AKTIVITY_POZICIE!$B$53)),0)</f>
        <v>0</v>
      </c>
      <c r="O166" s="577">
        <f>IFERROR(IF((POZICIE_INTERNE!$B$52-12*('TCO TO BE- SW'!$D156-1))&gt;12,((O$4+'TCO TO BE - HW'!O$4)/($E$4+'TCO TO BE - HW'!$E$4)*SUM(POZICIE_INTERNE!$I$52:$I$63))/POZICIE_INTERNE!$B$52*12,IF((POZICIE_INTERNE!$B$52-12*('TCO TO BE- SW'!$D156-1))&lt;0,0,(POZICIE_INTERNE!$B$52-12*('TCO TO BE- SW'!$D156-1))*((O$4+'TCO TO BE - HW'!O$4)/($E$4+'TCO TO BE - HW'!$E$4)*SUM(POZICIE_INTERNE!$I$52:$I$63))/POZICIE_INTERNE!$B$52)),0)+IFERROR(IF((AKTIVITY_POZICIE!$B$53-12*('TCO TO BE- SW'!$D156-1))&gt;12,((O$4+'TCO TO BE - HW'!O$4)/($E$4+'TCO TO BE - HW'!$E$4)*SUM(AKTIVITY_POZICIE!$M$53:$M$64))/AKTIVITY_POZICIE!$B$41*12,IF((AKTIVITY_POZICIE!$B$53-12*('TCO TO BE- SW'!$D156-1))&lt;0,0,(AKTIVITY_POZICIE!$B$53-12*('TCO TO BE- SW'!$D156-1))*((O$4+'TCO TO BE - HW'!O$4)/($E$4+'TCO TO BE - HW'!$E$4)*SUM(AKTIVITY_POZICIE!$M$53:$M$64))/AKTIVITY_POZICIE!$B$53)),0)</f>
        <v>0</v>
      </c>
      <c r="P166" s="577">
        <f>IFERROR(IF((POZICIE_INTERNE!$B$52-12*('TCO TO BE- SW'!$D156-1))&gt;12,((P$4+'TCO TO BE - HW'!P$4)/($E$4+'TCO TO BE - HW'!$E$4)*SUM(POZICIE_INTERNE!$I$52:$I$63))/POZICIE_INTERNE!$B$52*12,IF((POZICIE_INTERNE!$B$52-12*('TCO TO BE- SW'!$D156-1))&lt;0,0,(POZICIE_INTERNE!$B$52-12*('TCO TO BE- SW'!$D156-1))*((P$4+'TCO TO BE - HW'!P$4)/($E$4+'TCO TO BE - HW'!$E$4)*SUM(POZICIE_INTERNE!$I$52:$I$63))/POZICIE_INTERNE!$B$52)),0)+IFERROR(IF((AKTIVITY_POZICIE!$B$53-12*('TCO TO BE- SW'!$D156-1))&gt;12,((P$4+'TCO TO BE - HW'!P$4)/($E$4+'TCO TO BE - HW'!$E$4)*SUM(AKTIVITY_POZICIE!$M$53:$M$64))/AKTIVITY_POZICIE!$B$41*12,IF((AKTIVITY_POZICIE!$B$53-12*('TCO TO BE- SW'!$D156-1))&lt;0,0,(AKTIVITY_POZICIE!$B$53-12*('TCO TO BE- SW'!$D156-1))*((P$4+'TCO TO BE - HW'!P$4)/($E$4+'TCO TO BE - HW'!$E$4)*SUM(AKTIVITY_POZICIE!$M$53:$M$64))/AKTIVITY_POZICIE!$B$53)),0)</f>
        <v>0</v>
      </c>
      <c r="Q166" s="577">
        <f>IFERROR(IF((POZICIE_INTERNE!$B$52-12*('TCO TO BE- SW'!$D156-1))&gt;12,((Q$4+'TCO TO BE - HW'!Q$4)/($E$4+'TCO TO BE - HW'!$E$4)*SUM(POZICIE_INTERNE!$I$52:$I$63))/POZICIE_INTERNE!$B$52*12,IF((POZICIE_INTERNE!$B$52-12*('TCO TO BE- SW'!$D156-1))&lt;0,0,(POZICIE_INTERNE!$B$52-12*('TCO TO BE- SW'!$D156-1))*((Q$4+'TCO TO BE - HW'!Q$4)/($E$4+'TCO TO BE - HW'!$E$4)*SUM(POZICIE_INTERNE!$I$52:$I$63))/POZICIE_INTERNE!$B$52)),0)+IFERROR(IF((AKTIVITY_POZICIE!$B$53-12*('TCO TO BE- SW'!$D156-1))&gt;12,((Q$4+'TCO TO BE - HW'!Q$4)/($E$4+'TCO TO BE - HW'!$E$4)*SUM(AKTIVITY_POZICIE!$M$53:$M$64))/AKTIVITY_POZICIE!$B$41*12,IF((AKTIVITY_POZICIE!$B$53-12*('TCO TO BE- SW'!$D156-1))&lt;0,0,(AKTIVITY_POZICIE!$B$53-12*('TCO TO BE- SW'!$D156-1))*((Q$4+'TCO TO BE - HW'!Q$4)/($E$4+'TCO TO BE - HW'!$E$4)*SUM(AKTIVITY_POZICIE!$M$53:$M$64))/AKTIVITY_POZICIE!$B$53)),0)</f>
        <v>0</v>
      </c>
      <c r="R166" s="577">
        <f>IFERROR(IF((POZICIE_INTERNE!$B$52-12*('TCO TO BE- SW'!$D156-1))&gt;12,((R$4+'TCO TO BE - HW'!R$4)/($E$4+'TCO TO BE - HW'!$E$4)*SUM(POZICIE_INTERNE!$I$52:$I$63))/POZICIE_INTERNE!$B$52*12,IF((POZICIE_INTERNE!$B$52-12*('TCO TO BE- SW'!$D156-1))&lt;0,0,(POZICIE_INTERNE!$B$52-12*('TCO TO BE- SW'!$D156-1))*((R$4+'TCO TO BE - HW'!R$4)/($E$4+'TCO TO BE - HW'!$E$4)*SUM(POZICIE_INTERNE!$I$52:$I$63))/POZICIE_INTERNE!$B$52)),0)+IFERROR(IF((AKTIVITY_POZICIE!$B$53-12*('TCO TO BE- SW'!$D156-1))&gt;12,((R$4+'TCO TO BE - HW'!R$4)/($E$4+'TCO TO BE - HW'!$E$4)*SUM(AKTIVITY_POZICIE!$M$53:$M$64))/AKTIVITY_POZICIE!$B$41*12,IF((AKTIVITY_POZICIE!$B$53-12*('TCO TO BE- SW'!$D156-1))&lt;0,0,(AKTIVITY_POZICIE!$B$53-12*('TCO TO BE- SW'!$D156-1))*((R$4+'TCO TO BE - HW'!R$4)/($E$4+'TCO TO BE - HW'!$E$4)*SUM(AKTIVITY_POZICIE!$M$53:$M$64))/AKTIVITY_POZICIE!$B$53)),0)</f>
        <v>0</v>
      </c>
      <c r="S166" s="577">
        <f>IFERROR(IF((POZICIE_INTERNE!$B$52-12*('TCO TO BE- SW'!$D156-1))&gt;12,((S$4+'TCO TO BE - HW'!S$4)/($E$4+'TCO TO BE - HW'!$E$4)*SUM(POZICIE_INTERNE!$I$52:$I$63))/POZICIE_INTERNE!$B$52*12,IF((POZICIE_INTERNE!$B$52-12*('TCO TO BE- SW'!$D156-1))&lt;0,0,(POZICIE_INTERNE!$B$52-12*('TCO TO BE- SW'!$D156-1))*((S$4+'TCO TO BE - HW'!S$4)/($E$4+'TCO TO BE - HW'!$E$4)*SUM(POZICIE_INTERNE!$I$52:$I$63))/POZICIE_INTERNE!$B$52)),0)+IFERROR(IF((AKTIVITY_POZICIE!$B$53-12*('TCO TO BE- SW'!$D156-1))&gt;12,((S$4+'TCO TO BE - HW'!S$4)/($E$4+'TCO TO BE - HW'!$E$4)*SUM(AKTIVITY_POZICIE!$M$53:$M$64))/AKTIVITY_POZICIE!$B$41*12,IF((AKTIVITY_POZICIE!$B$53-12*('TCO TO BE- SW'!$D156-1))&lt;0,0,(AKTIVITY_POZICIE!$B$53-12*('TCO TO BE- SW'!$D156-1))*((S$4+'TCO TO BE - HW'!S$4)/($E$4+'TCO TO BE - HW'!$E$4)*SUM(AKTIVITY_POZICIE!$M$53:$M$64))/AKTIVITY_POZICIE!$B$53)),0)</f>
        <v>0</v>
      </c>
      <c r="T166" s="577">
        <f>IFERROR(IF((POZICIE_INTERNE!$B$52-12*('TCO TO BE- SW'!$D156-1))&gt;12,((T$4+'TCO TO BE - HW'!T$4)/($E$4+'TCO TO BE - HW'!$E$4)*SUM(POZICIE_INTERNE!$I$52:$I$63))/POZICIE_INTERNE!$B$52*12,IF((POZICIE_INTERNE!$B$52-12*('TCO TO BE- SW'!$D156-1))&lt;0,0,(POZICIE_INTERNE!$B$52-12*('TCO TO BE- SW'!$D156-1))*((T$4+'TCO TO BE - HW'!T$4)/($E$4+'TCO TO BE - HW'!$E$4)*SUM(POZICIE_INTERNE!$I$52:$I$63))/POZICIE_INTERNE!$B$52)),0)+IFERROR(IF((AKTIVITY_POZICIE!$B$53-12*('TCO TO BE- SW'!$D156-1))&gt;12,((T$4+'TCO TO BE - HW'!T$4)/($E$4+'TCO TO BE - HW'!$E$4)*SUM(AKTIVITY_POZICIE!$M$53:$M$64))/AKTIVITY_POZICIE!$B$41*12,IF((AKTIVITY_POZICIE!$B$53-12*('TCO TO BE- SW'!$D156-1))&lt;0,0,(AKTIVITY_POZICIE!$B$53-12*('TCO TO BE- SW'!$D156-1))*((T$4+'TCO TO BE - HW'!T$4)/($E$4+'TCO TO BE - HW'!$E$4)*SUM(AKTIVITY_POZICIE!$M$53:$M$64))/AKTIVITY_POZICIE!$B$53)),0)</f>
        <v>0</v>
      </c>
      <c r="U166" s="577">
        <f>IFERROR(IF((POZICIE_INTERNE!$B$52-12*('TCO TO BE- SW'!$D156-1))&gt;12,((U$4+'TCO TO BE - HW'!U$4)/($E$4+'TCO TO BE - HW'!$E$4)*SUM(POZICIE_INTERNE!$I$52:$I$63))/POZICIE_INTERNE!$B$52*12,IF((POZICIE_INTERNE!$B$52-12*('TCO TO BE- SW'!$D156-1))&lt;0,0,(POZICIE_INTERNE!$B$52-12*('TCO TO BE- SW'!$D156-1))*((U$4+'TCO TO BE - HW'!U$4)/($E$4+'TCO TO BE - HW'!$E$4)*SUM(POZICIE_INTERNE!$I$52:$I$63))/POZICIE_INTERNE!$B$52)),0)+IFERROR(IF((AKTIVITY_POZICIE!$B$53-12*('TCO TO BE- SW'!$D156-1))&gt;12,((U$4+'TCO TO BE - HW'!U$4)/($E$4+'TCO TO BE - HW'!$E$4)*SUM(AKTIVITY_POZICIE!$M$53:$M$64))/AKTIVITY_POZICIE!$B$41*12,IF((AKTIVITY_POZICIE!$B$53-12*('TCO TO BE- SW'!$D156-1))&lt;0,0,(AKTIVITY_POZICIE!$B$53-12*('TCO TO BE- SW'!$D156-1))*((U$4+'TCO TO BE - HW'!U$4)/($E$4+'TCO TO BE - HW'!$E$4)*SUM(AKTIVITY_POZICIE!$M$53:$M$64))/AKTIVITY_POZICIE!$B$53)),0)</f>
        <v>0</v>
      </c>
      <c r="V166" s="577">
        <f>IFERROR(IF((POZICIE_INTERNE!$B$52-12*('TCO TO BE- SW'!$D156-1))&gt;12,((V$4+'TCO TO BE - HW'!V$4)/($E$4+'TCO TO BE - HW'!$E$4)*SUM(POZICIE_INTERNE!$I$52:$I$63))/POZICIE_INTERNE!$B$52*12,IF((POZICIE_INTERNE!$B$52-12*('TCO TO BE- SW'!$D156-1))&lt;0,0,(POZICIE_INTERNE!$B$52-12*('TCO TO BE- SW'!$D156-1))*((V$4+'TCO TO BE - HW'!V$4)/($E$4+'TCO TO BE - HW'!$E$4)*SUM(POZICIE_INTERNE!$I$52:$I$63))/POZICIE_INTERNE!$B$52)),0)+IFERROR(IF((AKTIVITY_POZICIE!$B$53-12*('TCO TO BE- SW'!$D156-1))&gt;12,((V$4+'TCO TO BE - HW'!V$4)/($E$4+'TCO TO BE - HW'!$E$4)*SUM(AKTIVITY_POZICIE!$M$53:$M$64))/AKTIVITY_POZICIE!$B$41*12,IF((AKTIVITY_POZICIE!$B$53-12*('TCO TO BE- SW'!$D156-1))&lt;0,0,(AKTIVITY_POZICIE!$B$53-12*('TCO TO BE- SW'!$D156-1))*((V$4+'TCO TO BE - HW'!V$4)/($E$4+'TCO TO BE - HW'!$E$4)*SUM(AKTIVITY_POZICIE!$M$53:$M$64))/AKTIVITY_POZICIE!$B$53)),0)</f>
        <v>0</v>
      </c>
      <c r="W166" s="577">
        <f>IFERROR(IF((POZICIE_INTERNE!$B$52-12*('TCO TO BE- SW'!$D156-1))&gt;12,((W$4+'TCO TO BE - HW'!W$4)/($E$4+'TCO TO BE - HW'!$E$4)*SUM(POZICIE_INTERNE!$I$52:$I$63))/POZICIE_INTERNE!$B$52*12,IF((POZICIE_INTERNE!$B$52-12*('TCO TO BE- SW'!$D156-1))&lt;0,0,(POZICIE_INTERNE!$B$52-12*('TCO TO BE- SW'!$D156-1))*((W$4+'TCO TO BE - HW'!W$4)/($E$4+'TCO TO BE - HW'!$E$4)*SUM(POZICIE_INTERNE!$I$52:$I$63))/POZICIE_INTERNE!$B$52)),0)+IFERROR(IF((AKTIVITY_POZICIE!$B$53-12*('TCO TO BE- SW'!$D156-1))&gt;12,((W$4+'TCO TO BE - HW'!W$4)/($E$4+'TCO TO BE - HW'!$E$4)*SUM(AKTIVITY_POZICIE!$M$53:$M$64))/AKTIVITY_POZICIE!$B$41*12,IF((AKTIVITY_POZICIE!$B$53-12*('TCO TO BE- SW'!$D156-1))&lt;0,0,(AKTIVITY_POZICIE!$B$53-12*('TCO TO BE- SW'!$D156-1))*((W$4+'TCO TO BE - HW'!W$4)/($E$4+'TCO TO BE - HW'!$E$4)*SUM(AKTIVITY_POZICIE!$M$53:$M$64))/AKTIVITY_POZICIE!$B$53)),0)</f>
        <v>0</v>
      </c>
      <c r="X166" s="577">
        <f>IFERROR(IF((POZICIE_INTERNE!$B$52-12*('TCO TO BE- SW'!$D156-1))&gt;12,((X$4+'TCO TO BE - HW'!X$4)/($E$4+'TCO TO BE - HW'!$E$4)*SUM(POZICIE_INTERNE!$I$52:$I$63))/POZICIE_INTERNE!$B$52*12,IF((POZICIE_INTERNE!$B$52-12*('TCO TO BE- SW'!$D156-1))&lt;0,0,(POZICIE_INTERNE!$B$52-12*('TCO TO BE- SW'!$D156-1))*((X$4+'TCO TO BE - HW'!X$4)/($E$4+'TCO TO BE - HW'!$E$4)*SUM(POZICIE_INTERNE!$I$52:$I$63))/POZICIE_INTERNE!$B$52)),0)+IFERROR(IF((AKTIVITY_POZICIE!$B$53-12*('TCO TO BE- SW'!$D156-1))&gt;12,((X$4+'TCO TO BE - HW'!X$4)/($E$4+'TCO TO BE - HW'!$E$4)*SUM(AKTIVITY_POZICIE!$M$53:$M$64))/AKTIVITY_POZICIE!$B$41*12,IF((AKTIVITY_POZICIE!$B$53-12*('TCO TO BE- SW'!$D156-1))&lt;0,0,(AKTIVITY_POZICIE!$B$53-12*('TCO TO BE- SW'!$D156-1))*((X$4+'TCO TO BE - HW'!X$4)/($E$4+'TCO TO BE - HW'!$E$4)*SUM(AKTIVITY_POZICIE!$M$53:$M$64))/AKTIVITY_POZICIE!$B$53)),0)</f>
        <v>0</v>
      </c>
      <c r="Y166" s="577">
        <f>IFERROR(IF((POZICIE_INTERNE!$B$52-12*('TCO TO BE- SW'!$D156-1))&gt;12,((Y$4+'TCO TO BE - HW'!Y$4)/($E$4+'TCO TO BE - HW'!$E$4)*SUM(POZICIE_INTERNE!$I$52:$I$63))/POZICIE_INTERNE!$B$52*12,IF((POZICIE_INTERNE!$B$52-12*('TCO TO BE- SW'!$D156-1))&lt;0,0,(POZICIE_INTERNE!$B$52-12*('TCO TO BE- SW'!$D156-1))*((Y$4+'TCO TO BE - HW'!Y$4)/($E$4+'TCO TO BE - HW'!$E$4)*SUM(POZICIE_INTERNE!$I$52:$I$63))/POZICIE_INTERNE!$B$52)),0)+IFERROR(IF((AKTIVITY_POZICIE!$B$53-12*('TCO TO BE- SW'!$D156-1))&gt;12,((Y$4+'TCO TO BE - HW'!Y$4)/($E$4+'TCO TO BE - HW'!$E$4)*SUM(AKTIVITY_POZICIE!$M$53:$M$64))/AKTIVITY_POZICIE!$B$41*12,IF((AKTIVITY_POZICIE!$B$53-12*('TCO TO BE- SW'!$D156-1))&lt;0,0,(AKTIVITY_POZICIE!$B$53-12*('TCO TO BE- SW'!$D156-1))*((Y$4+'TCO TO BE - HW'!Y$4)/($E$4+'TCO TO BE - HW'!$E$4)*SUM(AKTIVITY_POZICIE!$M$53:$M$64))/AKTIVITY_POZICIE!$B$53)),0)</f>
        <v>0</v>
      </c>
      <c r="Z166" s="577">
        <f>IFERROR(IF((POZICIE_INTERNE!$B$52-12*('TCO TO BE- SW'!$D156-1))&gt;12,((Z$4+'TCO TO BE - HW'!Z$4)/($E$4+'TCO TO BE - HW'!$E$4)*SUM(POZICIE_INTERNE!$I$52:$I$63))/POZICIE_INTERNE!$B$52*12,IF((POZICIE_INTERNE!$B$52-12*('TCO TO BE- SW'!$D156-1))&lt;0,0,(POZICIE_INTERNE!$B$52-12*('TCO TO BE- SW'!$D156-1))*((Z$4+'TCO TO BE - HW'!Z$4)/($E$4+'TCO TO BE - HW'!$E$4)*SUM(POZICIE_INTERNE!$I$52:$I$63))/POZICIE_INTERNE!$B$52)),0)+IFERROR(IF((AKTIVITY_POZICIE!$B$53-12*('TCO TO BE- SW'!$D156-1))&gt;12,((Z$4+'TCO TO BE - HW'!Z$4)/($E$4+'TCO TO BE - HW'!$E$4)*SUM(AKTIVITY_POZICIE!$M$53:$M$64))/AKTIVITY_POZICIE!$B$41*12,IF((AKTIVITY_POZICIE!$B$53-12*('TCO TO BE- SW'!$D156-1))&lt;0,0,(AKTIVITY_POZICIE!$B$53-12*('TCO TO BE- SW'!$D156-1))*((Z$4+'TCO TO BE - HW'!Z$4)/($E$4+'TCO TO BE - HW'!$E$4)*SUM(AKTIVITY_POZICIE!$M$53:$M$64))/AKTIVITY_POZICIE!$B$53)),0)</f>
        <v>0</v>
      </c>
    </row>
    <row r="167" spans="1:26">
      <c r="A167" s="824"/>
      <c r="B167" s="825"/>
      <c r="C167" s="825"/>
      <c r="D167" s="64">
        <v>7</v>
      </c>
      <c r="E167" s="68">
        <f t="shared" si="16"/>
        <v>0</v>
      </c>
      <c r="F167" s="577">
        <f>IFERROR(IF((POZICIE_INTERNE!$B$52-12*('TCO TO BE- SW'!$D157-1))&gt;12,((F$4+'TCO TO BE - HW'!F$4)/($E$4+'TCO TO BE - HW'!$E$4)*SUM(POZICIE_INTERNE!$I$52:$I$63))/POZICIE_INTERNE!$B$52*12,IF((POZICIE_INTERNE!$B$52-12*('TCO TO BE- SW'!$D157-1))&lt;0,0,(POZICIE_INTERNE!$B$52-12*('TCO TO BE- SW'!$D157-1))*((F$4+'TCO TO BE - HW'!F$4)/($E$4+'TCO TO BE - HW'!$E$4)*SUM(POZICIE_INTERNE!$I$52:$I$63))/POZICIE_INTERNE!$B$52)),0)+IFERROR(IF((AKTIVITY_POZICIE!$B$53-12*('TCO TO BE- SW'!$D157-1))&gt;12,((F$4+'TCO TO BE - HW'!F$4)/($E$4+'TCO TO BE - HW'!$E$4)*SUM(AKTIVITY_POZICIE!$M$53:$M$64))/AKTIVITY_POZICIE!$B$41*12,IF((AKTIVITY_POZICIE!$B$53-12*('TCO TO BE- SW'!$D157-1))&lt;0,0,(AKTIVITY_POZICIE!$B$53-12*('TCO TO BE- SW'!$D157-1))*((F$4+'TCO TO BE - HW'!F$4)/($E$4+'TCO TO BE - HW'!$E$4)*SUM(AKTIVITY_POZICIE!$M$53:$M$64))/AKTIVITY_POZICIE!$B$53)),0)</f>
        <v>0</v>
      </c>
      <c r="G167" s="577">
        <f>IFERROR(IF((POZICIE_INTERNE!$B$52-12*('TCO TO BE- SW'!$D157-1))&gt;12,((G$4+'TCO TO BE - HW'!G$4)/($E$4+'TCO TO BE - HW'!$E$4)*SUM(POZICIE_INTERNE!$I$52:$I$63))/POZICIE_INTERNE!$B$52*12,IF((POZICIE_INTERNE!$B$52-12*('TCO TO BE- SW'!$D157-1))&lt;0,0,(POZICIE_INTERNE!$B$52-12*('TCO TO BE- SW'!$D157-1))*((G$4+'TCO TO BE - HW'!G$4)/($E$4+'TCO TO BE - HW'!$E$4)*SUM(POZICIE_INTERNE!$I$52:$I$63))/POZICIE_INTERNE!$B$52)),0)+IFERROR(IF((AKTIVITY_POZICIE!$B$53-12*('TCO TO BE- SW'!$D157-1))&gt;12,((G$4+'TCO TO BE - HW'!G$4)/($E$4+'TCO TO BE - HW'!$E$4)*SUM(AKTIVITY_POZICIE!$M$53:$M$64))/AKTIVITY_POZICIE!$B$41*12,IF((AKTIVITY_POZICIE!$B$53-12*('TCO TO BE- SW'!$D157-1))&lt;0,0,(AKTIVITY_POZICIE!$B$53-12*('TCO TO BE- SW'!$D157-1))*((G$4+'TCO TO BE - HW'!G$4)/($E$4+'TCO TO BE - HW'!$E$4)*SUM(AKTIVITY_POZICIE!$M$53:$M$64))/AKTIVITY_POZICIE!$B$53)),0)</f>
        <v>0</v>
      </c>
      <c r="H167" s="577">
        <f>IFERROR(IF((POZICIE_INTERNE!$B$52-12*('TCO TO BE- SW'!$D157-1))&gt;12,((H$4+'TCO TO BE - HW'!H$4)/($E$4+'TCO TO BE - HW'!$E$4)*SUM(POZICIE_INTERNE!$I$52:$I$63))/POZICIE_INTERNE!$B$52*12,IF((POZICIE_INTERNE!$B$52-12*('TCO TO BE- SW'!$D157-1))&lt;0,0,(POZICIE_INTERNE!$B$52-12*('TCO TO BE- SW'!$D157-1))*((H$4+'TCO TO BE - HW'!H$4)/($E$4+'TCO TO BE - HW'!$E$4)*SUM(POZICIE_INTERNE!$I$52:$I$63))/POZICIE_INTERNE!$B$52)),0)+IFERROR(IF((AKTIVITY_POZICIE!$B$53-12*('TCO TO BE- SW'!$D157-1))&gt;12,((H$4+'TCO TO BE - HW'!H$4)/($E$4+'TCO TO BE - HW'!$E$4)*SUM(AKTIVITY_POZICIE!$M$53:$M$64))/AKTIVITY_POZICIE!$B$41*12,IF((AKTIVITY_POZICIE!$B$53-12*('TCO TO BE- SW'!$D157-1))&lt;0,0,(AKTIVITY_POZICIE!$B$53-12*('TCO TO BE- SW'!$D157-1))*((H$4+'TCO TO BE - HW'!H$4)/($E$4+'TCO TO BE - HW'!$E$4)*SUM(AKTIVITY_POZICIE!$M$53:$M$64))/AKTIVITY_POZICIE!$B$53)),0)</f>
        <v>0</v>
      </c>
      <c r="I167" s="577">
        <f>IFERROR(IF((POZICIE_INTERNE!$B$52-12*('TCO TO BE- SW'!$D157-1))&gt;12,((I$4+'TCO TO BE - HW'!I$4)/($E$4+'TCO TO BE - HW'!$E$4)*SUM(POZICIE_INTERNE!$I$52:$I$63))/POZICIE_INTERNE!$B$52*12,IF((POZICIE_INTERNE!$B$52-12*('TCO TO BE- SW'!$D157-1))&lt;0,0,(POZICIE_INTERNE!$B$52-12*('TCO TO BE- SW'!$D157-1))*((I$4+'TCO TO BE - HW'!I$4)/($E$4+'TCO TO BE - HW'!$E$4)*SUM(POZICIE_INTERNE!$I$52:$I$63))/POZICIE_INTERNE!$B$52)),0)+IFERROR(IF((AKTIVITY_POZICIE!$B$53-12*('TCO TO BE- SW'!$D157-1))&gt;12,((I$4+'TCO TO BE - HW'!I$4)/($E$4+'TCO TO BE - HW'!$E$4)*SUM(AKTIVITY_POZICIE!$M$53:$M$64))/AKTIVITY_POZICIE!$B$41*12,IF((AKTIVITY_POZICIE!$B$53-12*('TCO TO BE- SW'!$D157-1))&lt;0,0,(AKTIVITY_POZICIE!$B$53-12*('TCO TO BE- SW'!$D157-1))*((I$4+'TCO TO BE - HW'!I$4)/($E$4+'TCO TO BE - HW'!$E$4)*SUM(AKTIVITY_POZICIE!$M$53:$M$64))/AKTIVITY_POZICIE!$B$53)),0)</f>
        <v>0</v>
      </c>
      <c r="J167" s="577">
        <f>IFERROR(IF((POZICIE_INTERNE!$B$52-12*('TCO TO BE- SW'!$D157-1))&gt;12,((J$4+'TCO TO BE - HW'!J$4)/($E$4+'TCO TO BE - HW'!$E$4)*SUM(POZICIE_INTERNE!$I$52:$I$63))/POZICIE_INTERNE!$B$52*12,IF((POZICIE_INTERNE!$B$52-12*('TCO TO BE- SW'!$D157-1))&lt;0,0,(POZICIE_INTERNE!$B$52-12*('TCO TO BE- SW'!$D157-1))*((J$4+'TCO TO BE - HW'!J$4)/($E$4+'TCO TO BE - HW'!$E$4)*SUM(POZICIE_INTERNE!$I$52:$I$63))/POZICIE_INTERNE!$B$52)),0)+IFERROR(IF((AKTIVITY_POZICIE!$B$53-12*('TCO TO BE- SW'!$D157-1))&gt;12,((J$4+'TCO TO BE - HW'!J$4)/($E$4+'TCO TO BE - HW'!$E$4)*SUM(AKTIVITY_POZICIE!$M$53:$M$64))/AKTIVITY_POZICIE!$B$41*12,IF((AKTIVITY_POZICIE!$B$53-12*('TCO TO BE- SW'!$D157-1))&lt;0,0,(AKTIVITY_POZICIE!$B$53-12*('TCO TO BE- SW'!$D157-1))*((J$4+'TCO TO BE - HW'!J$4)/($E$4+'TCO TO BE - HW'!$E$4)*SUM(AKTIVITY_POZICIE!$M$53:$M$64))/AKTIVITY_POZICIE!$B$53)),0)</f>
        <v>0</v>
      </c>
      <c r="K167" s="577">
        <f>IFERROR(IF((POZICIE_INTERNE!$B$52-12*('TCO TO BE- SW'!$D157-1))&gt;12,((K$4+'TCO TO BE - HW'!K$4)/($E$4+'TCO TO BE - HW'!$E$4)*SUM(POZICIE_INTERNE!$I$52:$I$63))/POZICIE_INTERNE!$B$52*12,IF((POZICIE_INTERNE!$B$52-12*('TCO TO BE- SW'!$D157-1))&lt;0,0,(POZICIE_INTERNE!$B$52-12*('TCO TO BE- SW'!$D157-1))*((K$4+'TCO TO BE - HW'!K$4)/($E$4+'TCO TO BE - HW'!$E$4)*SUM(POZICIE_INTERNE!$I$52:$I$63))/POZICIE_INTERNE!$B$52)),0)+IFERROR(IF((AKTIVITY_POZICIE!$B$53-12*('TCO TO BE- SW'!$D157-1))&gt;12,((K$4+'TCO TO BE - HW'!K$4)/($E$4+'TCO TO BE - HW'!$E$4)*SUM(AKTIVITY_POZICIE!$M$53:$M$64))/AKTIVITY_POZICIE!$B$41*12,IF((AKTIVITY_POZICIE!$B$53-12*('TCO TO BE- SW'!$D157-1))&lt;0,0,(AKTIVITY_POZICIE!$B$53-12*('TCO TO BE- SW'!$D157-1))*((K$4+'TCO TO BE - HW'!K$4)/($E$4+'TCO TO BE - HW'!$E$4)*SUM(AKTIVITY_POZICIE!$M$53:$M$64))/AKTIVITY_POZICIE!$B$53)),0)</f>
        <v>0</v>
      </c>
      <c r="L167" s="577">
        <f>IFERROR(IF((POZICIE_INTERNE!$B$52-12*('TCO TO BE- SW'!$D157-1))&gt;12,((L$4+'TCO TO BE - HW'!L$4)/($E$4+'TCO TO BE - HW'!$E$4)*SUM(POZICIE_INTERNE!$I$52:$I$63))/POZICIE_INTERNE!$B$52*12,IF((POZICIE_INTERNE!$B$52-12*('TCO TO BE- SW'!$D157-1))&lt;0,0,(POZICIE_INTERNE!$B$52-12*('TCO TO BE- SW'!$D157-1))*((L$4+'TCO TO BE - HW'!L$4)/($E$4+'TCO TO BE - HW'!$E$4)*SUM(POZICIE_INTERNE!$I$52:$I$63))/POZICIE_INTERNE!$B$52)),0)+IFERROR(IF((AKTIVITY_POZICIE!$B$53-12*('TCO TO BE- SW'!$D157-1))&gt;12,((L$4+'TCO TO BE - HW'!L$4)/($E$4+'TCO TO BE - HW'!$E$4)*SUM(AKTIVITY_POZICIE!$M$53:$M$64))/AKTIVITY_POZICIE!$B$41*12,IF((AKTIVITY_POZICIE!$B$53-12*('TCO TO BE- SW'!$D157-1))&lt;0,0,(AKTIVITY_POZICIE!$B$53-12*('TCO TO BE- SW'!$D157-1))*((L$4+'TCO TO BE - HW'!L$4)/($E$4+'TCO TO BE - HW'!$E$4)*SUM(AKTIVITY_POZICIE!$M$53:$M$64))/AKTIVITY_POZICIE!$B$53)),0)</f>
        <v>0</v>
      </c>
      <c r="M167" s="577">
        <f>IFERROR(IF((POZICIE_INTERNE!$B$52-12*('TCO TO BE- SW'!$D157-1))&gt;12,((M$4+'TCO TO BE - HW'!M$4)/($E$4+'TCO TO BE - HW'!$E$4)*SUM(POZICIE_INTERNE!$I$52:$I$63))/POZICIE_INTERNE!$B$52*12,IF((POZICIE_INTERNE!$B$52-12*('TCO TO BE- SW'!$D157-1))&lt;0,0,(POZICIE_INTERNE!$B$52-12*('TCO TO BE- SW'!$D157-1))*((M$4+'TCO TO BE - HW'!M$4)/($E$4+'TCO TO BE - HW'!$E$4)*SUM(POZICIE_INTERNE!$I$52:$I$63))/POZICIE_INTERNE!$B$52)),0)+IFERROR(IF((AKTIVITY_POZICIE!$B$53-12*('TCO TO BE- SW'!$D157-1))&gt;12,((M$4+'TCO TO BE - HW'!M$4)/($E$4+'TCO TO BE - HW'!$E$4)*SUM(AKTIVITY_POZICIE!$M$53:$M$64))/AKTIVITY_POZICIE!$B$41*12,IF((AKTIVITY_POZICIE!$B$53-12*('TCO TO BE- SW'!$D157-1))&lt;0,0,(AKTIVITY_POZICIE!$B$53-12*('TCO TO BE- SW'!$D157-1))*((M$4+'TCO TO BE - HW'!M$4)/($E$4+'TCO TO BE - HW'!$E$4)*SUM(AKTIVITY_POZICIE!$M$53:$M$64))/AKTIVITY_POZICIE!$B$53)),0)</f>
        <v>0</v>
      </c>
      <c r="N167" s="577">
        <f>IFERROR(IF((POZICIE_INTERNE!$B$52-12*('TCO TO BE- SW'!$D157-1))&gt;12,((N$4+'TCO TO BE - HW'!N$4)/($E$4+'TCO TO BE - HW'!$E$4)*SUM(POZICIE_INTERNE!$I$52:$I$63))/POZICIE_INTERNE!$B$52*12,IF((POZICIE_INTERNE!$B$52-12*('TCO TO BE- SW'!$D157-1))&lt;0,0,(POZICIE_INTERNE!$B$52-12*('TCO TO BE- SW'!$D157-1))*((N$4+'TCO TO BE - HW'!N$4)/($E$4+'TCO TO BE - HW'!$E$4)*SUM(POZICIE_INTERNE!$I$52:$I$63))/POZICIE_INTERNE!$B$52)),0)+IFERROR(IF((AKTIVITY_POZICIE!$B$53-12*('TCO TO BE- SW'!$D157-1))&gt;12,((N$4+'TCO TO BE - HW'!N$4)/($E$4+'TCO TO BE - HW'!$E$4)*SUM(AKTIVITY_POZICIE!$M$53:$M$64))/AKTIVITY_POZICIE!$B$41*12,IF((AKTIVITY_POZICIE!$B$53-12*('TCO TO BE- SW'!$D157-1))&lt;0,0,(AKTIVITY_POZICIE!$B$53-12*('TCO TO BE- SW'!$D157-1))*((N$4+'TCO TO BE - HW'!N$4)/($E$4+'TCO TO BE - HW'!$E$4)*SUM(AKTIVITY_POZICIE!$M$53:$M$64))/AKTIVITY_POZICIE!$B$53)),0)</f>
        <v>0</v>
      </c>
      <c r="O167" s="577">
        <f>IFERROR(IF((POZICIE_INTERNE!$B$52-12*('TCO TO BE- SW'!$D157-1))&gt;12,((O$4+'TCO TO BE - HW'!O$4)/($E$4+'TCO TO BE - HW'!$E$4)*SUM(POZICIE_INTERNE!$I$52:$I$63))/POZICIE_INTERNE!$B$52*12,IF((POZICIE_INTERNE!$B$52-12*('TCO TO BE- SW'!$D157-1))&lt;0,0,(POZICIE_INTERNE!$B$52-12*('TCO TO BE- SW'!$D157-1))*((O$4+'TCO TO BE - HW'!O$4)/($E$4+'TCO TO BE - HW'!$E$4)*SUM(POZICIE_INTERNE!$I$52:$I$63))/POZICIE_INTERNE!$B$52)),0)+IFERROR(IF((AKTIVITY_POZICIE!$B$53-12*('TCO TO BE- SW'!$D157-1))&gt;12,((O$4+'TCO TO BE - HW'!O$4)/($E$4+'TCO TO BE - HW'!$E$4)*SUM(AKTIVITY_POZICIE!$M$53:$M$64))/AKTIVITY_POZICIE!$B$41*12,IF((AKTIVITY_POZICIE!$B$53-12*('TCO TO BE- SW'!$D157-1))&lt;0,0,(AKTIVITY_POZICIE!$B$53-12*('TCO TO BE- SW'!$D157-1))*((O$4+'TCO TO BE - HW'!O$4)/($E$4+'TCO TO BE - HW'!$E$4)*SUM(AKTIVITY_POZICIE!$M$53:$M$64))/AKTIVITY_POZICIE!$B$53)),0)</f>
        <v>0</v>
      </c>
      <c r="P167" s="577">
        <f>IFERROR(IF((POZICIE_INTERNE!$B$52-12*('TCO TO BE- SW'!$D157-1))&gt;12,((P$4+'TCO TO BE - HW'!P$4)/($E$4+'TCO TO BE - HW'!$E$4)*SUM(POZICIE_INTERNE!$I$52:$I$63))/POZICIE_INTERNE!$B$52*12,IF((POZICIE_INTERNE!$B$52-12*('TCO TO BE- SW'!$D157-1))&lt;0,0,(POZICIE_INTERNE!$B$52-12*('TCO TO BE- SW'!$D157-1))*((P$4+'TCO TO BE - HW'!P$4)/($E$4+'TCO TO BE - HW'!$E$4)*SUM(POZICIE_INTERNE!$I$52:$I$63))/POZICIE_INTERNE!$B$52)),0)+IFERROR(IF((AKTIVITY_POZICIE!$B$53-12*('TCO TO BE- SW'!$D157-1))&gt;12,((P$4+'TCO TO BE - HW'!P$4)/($E$4+'TCO TO BE - HW'!$E$4)*SUM(AKTIVITY_POZICIE!$M$53:$M$64))/AKTIVITY_POZICIE!$B$41*12,IF((AKTIVITY_POZICIE!$B$53-12*('TCO TO BE- SW'!$D157-1))&lt;0,0,(AKTIVITY_POZICIE!$B$53-12*('TCO TO BE- SW'!$D157-1))*((P$4+'TCO TO BE - HW'!P$4)/($E$4+'TCO TO BE - HW'!$E$4)*SUM(AKTIVITY_POZICIE!$M$53:$M$64))/AKTIVITY_POZICIE!$B$53)),0)</f>
        <v>0</v>
      </c>
      <c r="Q167" s="577">
        <f>IFERROR(IF((POZICIE_INTERNE!$B$52-12*('TCO TO BE- SW'!$D157-1))&gt;12,((Q$4+'TCO TO BE - HW'!Q$4)/($E$4+'TCO TO BE - HW'!$E$4)*SUM(POZICIE_INTERNE!$I$52:$I$63))/POZICIE_INTERNE!$B$52*12,IF((POZICIE_INTERNE!$B$52-12*('TCO TO BE- SW'!$D157-1))&lt;0,0,(POZICIE_INTERNE!$B$52-12*('TCO TO BE- SW'!$D157-1))*((Q$4+'TCO TO BE - HW'!Q$4)/($E$4+'TCO TO BE - HW'!$E$4)*SUM(POZICIE_INTERNE!$I$52:$I$63))/POZICIE_INTERNE!$B$52)),0)+IFERROR(IF((AKTIVITY_POZICIE!$B$53-12*('TCO TO BE- SW'!$D157-1))&gt;12,((Q$4+'TCO TO BE - HW'!Q$4)/($E$4+'TCO TO BE - HW'!$E$4)*SUM(AKTIVITY_POZICIE!$M$53:$M$64))/AKTIVITY_POZICIE!$B$41*12,IF((AKTIVITY_POZICIE!$B$53-12*('TCO TO BE- SW'!$D157-1))&lt;0,0,(AKTIVITY_POZICIE!$B$53-12*('TCO TO BE- SW'!$D157-1))*((Q$4+'TCO TO BE - HW'!Q$4)/($E$4+'TCO TO BE - HW'!$E$4)*SUM(AKTIVITY_POZICIE!$M$53:$M$64))/AKTIVITY_POZICIE!$B$53)),0)</f>
        <v>0</v>
      </c>
      <c r="R167" s="577">
        <f>IFERROR(IF((POZICIE_INTERNE!$B$52-12*('TCO TO BE- SW'!$D157-1))&gt;12,((R$4+'TCO TO BE - HW'!R$4)/($E$4+'TCO TO BE - HW'!$E$4)*SUM(POZICIE_INTERNE!$I$52:$I$63))/POZICIE_INTERNE!$B$52*12,IF((POZICIE_INTERNE!$B$52-12*('TCO TO BE- SW'!$D157-1))&lt;0,0,(POZICIE_INTERNE!$B$52-12*('TCO TO BE- SW'!$D157-1))*((R$4+'TCO TO BE - HW'!R$4)/($E$4+'TCO TO BE - HW'!$E$4)*SUM(POZICIE_INTERNE!$I$52:$I$63))/POZICIE_INTERNE!$B$52)),0)+IFERROR(IF((AKTIVITY_POZICIE!$B$53-12*('TCO TO BE- SW'!$D157-1))&gt;12,((R$4+'TCO TO BE - HW'!R$4)/($E$4+'TCO TO BE - HW'!$E$4)*SUM(AKTIVITY_POZICIE!$M$53:$M$64))/AKTIVITY_POZICIE!$B$41*12,IF((AKTIVITY_POZICIE!$B$53-12*('TCO TO BE- SW'!$D157-1))&lt;0,0,(AKTIVITY_POZICIE!$B$53-12*('TCO TO BE- SW'!$D157-1))*((R$4+'TCO TO BE - HW'!R$4)/($E$4+'TCO TO BE - HW'!$E$4)*SUM(AKTIVITY_POZICIE!$M$53:$M$64))/AKTIVITY_POZICIE!$B$53)),0)</f>
        <v>0</v>
      </c>
      <c r="S167" s="577">
        <f>IFERROR(IF((POZICIE_INTERNE!$B$52-12*('TCO TO BE- SW'!$D157-1))&gt;12,((S$4+'TCO TO BE - HW'!S$4)/($E$4+'TCO TO BE - HW'!$E$4)*SUM(POZICIE_INTERNE!$I$52:$I$63))/POZICIE_INTERNE!$B$52*12,IF((POZICIE_INTERNE!$B$52-12*('TCO TO BE- SW'!$D157-1))&lt;0,0,(POZICIE_INTERNE!$B$52-12*('TCO TO BE- SW'!$D157-1))*((S$4+'TCO TO BE - HW'!S$4)/($E$4+'TCO TO BE - HW'!$E$4)*SUM(POZICIE_INTERNE!$I$52:$I$63))/POZICIE_INTERNE!$B$52)),0)+IFERROR(IF((AKTIVITY_POZICIE!$B$53-12*('TCO TO BE- SW'!$D157-1))&gt;12,((S$4+'TCO TO BE - HW'!S$4)/($E$4+'TCO TO BE - HW'!$E$4)*SUM(AKTIVITY_POZICIE!$M$53:$M$64))/AKTIVITY_POZICIE!$B$41*12,IF((AKTIVITY_POZICIE!$B$53-12*('TCO TO BE- SW'!$D157-1))&lt;0,0,(AKTIVITY_POZICIE!$B$53-12*('TCO TO BE- SW'!$D157-1))*((S$4+'TCO TO BE - HW'!S$4)/($E$4+'TCO TO BE - HW'!$E$4)*SUM(AKTIVITY_POZICIE!$M$53:$M$64))/AKTIVITY_POZICIE!$B$53)),0)</f>
        <v>0</v>
      </c>
      <c r="T167" s="577">
        <f>IFERROR(IF((POZICIE_INTERNE!$B$52-12*('TCO TO BE- SW'!$D157-1))&gt;12,((T$4+'TCO TO BE - HW'!T$4)/($E$4+'TCO TO BE - HW'!$E$4)*SUM(POZICIE_INTERNE!$I$52:$I$63))/POZICIE_INTERNE!$B$52*12,IF((POZICIE_INTERNE!$B$52-12*('TCO TO BE- SW'!$D157-1))&lt;0,0,(POZICIE_INTERNE!$B$52-12*('TCO TO BE- SW'!$D157-1))*((T$4+'TCO TO BE - HW'!T$4)/($E$4+'TCO TO BE - HW'!$E$4)*SUM(POZICIE_INTERNE!$I$52:$I$63))/POZICIE_INTERNE!$B$52)),0)+IFERROR(IF((AKTIVITY_POZICIE!$B$53-12*('TCO TO BE- SW'!$D157-1))&gt;12,((T$4+'TCO TO BE - HW'!T$4)/($E$4+'TCO TO BE - HW'!$E$4)*SUM(AKTIVITY_POZICIE!$M$53:$M$64))/AKTIVITY_POZICIE!$B$41*12,IF((AKTIVITY_POZICIE!$B$53-12*('TCO TO BE- SW'!$D157-1))&lt;0,0,(AKTIVITY_POZICIE!$B$53-12*('TCO TO BE- SW'!$D157-1))*((T$4+'TCO TO BE - HW'!T$4)/($E$4+'TCO TO BE - HW'!$E$4)*SUM(AKTIVITY_POZICIE!$M$53:$M$64))/AKTIVITY_POZICIE!$B$53)),0)</f>
        <v>0</v>
      </c>
      <c r="U167" s="577">
        <f>IFERROR(IF((POZICIE_INTERNE!$B$52-12*('TCO TO BE- SW'!$D157-1))&gt;12,((U$4+'TCO TO BE - HW'!U$4)/($E$4+'TCO TO BE - HW'!$E$4)*SUM(POZICIE_INTERNE!$I$52:$I$63))/POZICIE_INTERNE!$B$52*12,IF((POZICIE_INTERNE!$B$52-12*('TCO TO BE- SW'!$D157-1))&lt;0,0,(POZICIE_INTERNE!$B$52-12*('TCO TO BE- SW'!$D157-1))*((U$4+'TCO TO BE - HW'!U$4)/($E$4+'TCO TO BE - HW'!$E$4)*SUM(POZICIE_INTERNE!$I$52:$I$63))/POZICIE_INTERNE!$B$52)),0)+IFERROR(IF((AKTIVITY_POZICIE!$B$53-12*('TCO TO BE- SW'!$D157-1))&gt;12,((U$4+'TCO TO BE - HW'!U$4)/($E$4+'TCO TO BE - HW'!$E$4)*SUM(AKTIVITY_POZICIE!$M$53:$M$64))/AKTIVITY_POZICIE!$B$41*12,IF((AKTIVITY_POZICIE!$B$53-12*('TCO TO BE- SW'!$D157-1))&lt;0,0,(AKTIVITY_POZICIE!$B$53-12*('TCO TO BE- SW'!$D157-1))*((U$4+'TCO TO BE - HW'!U$4)/($E$4+'TCO TO BE - HW'!$E$4)*SUM(AKTIVITY_POZICIE!$M$53:$M$64))/AKTIVITY_POZICIE!$B$53)),0)</f>
        <v>0</v>
      </c>
      <c r="V167" s="577">
        <f>IFERROR(IF((POZICIE_INTERNE!$B$52-12*('TCO TO BE- SW'!$D157-1))&gt;12,((V$4+'TCO TO BE - HW'!V$4)/($E$4+'TCO TO BE - HW'!$E$4)*SUM(POZICIE_INTERNE!$I$52:$I$63))/POZICIE_INTERNE!$B$52*12,IF((POZICIE_INTERNE!$B$52-12*('TCO TO BE- SW'!$D157-1))&lt;0,0,(POZICIE_INTERNE!$B$52-12*('TCO TO BE- SW'!$D157-1))*((V$4+'TCO TO BE - HW'!V$4)/($E$4+'TCO TO BE - HW'!$E$4)*SUM(POZICIE_INTERNE!$I$52:$I$63))/POZICIE_INTERNE!$B$52)),0)+IFERROR(IF((AKTIVITY_POZICIE!$B$53-12*('TCO TO BE- SW'!$D157-1))&gt;12,((V$4+'TCO TO BE - HW'!V$4)/($E$4+'TCO TO BE - HW'!$E$4)*SUM(AKTIVITY_POZICIE!$M$53:$M$64))/AKTIVITY_POZICIE!$B$41*12,IF((AKTIVITY_POZICIE!$B$53-12*('TCO TO BE- SW'!$D157-1))&lt;0,0,(AKTIVITY_POZICIE!$B$53-12*('TCO TO BE- SW'!$D157-1))*((V$4+'TCO TO BE - HW'!V$4)/($E$4+'TCO TO BE - HW'!$E$4)*SUM(AKTIVITY_POZICIE!$M$53:$M$64))/AKTIVITY_POZICIE!$B$53)),0)</f>
        <v>0</v>
      </c>
      <c r="W167" s="577">
        <f>IFERROR(IF((POZICIE_INTERNE!$B$52-12*('TCO TO BE- SW'!$D157-1))&gt;12,((W$4+'TCO TO BE - HW'!W$4)/($E$4+'TCO TO BE - HW'!$E$4)*SUM(POZICIE_INTERNE!$I$52:$I$63))/POZICIE_INTERNE!$B$52*12,IF((POZICIE_INTERNE!$B$52-12*('TCO TO BE- SW'!$D157-1))&lt;0,0,(POZICIE_INTERNE!$B$52-12*('TCO TO BE- SW'!$D157-1))*((W$4+'TCO TO BE - HW'!W$4)/($E$4+'TCO TO BE - HW'!$E$4)*SUM(POZICIE_INTERNE!$I$52:$I$63))/POZICIE_INTERNE!$B$52)),0)+IFERROR(IF((AKTIVITY_POZICIE!$B$53-12*('TCO TO BE- SW'!$D157-1))&gt;12,((W$4+'TCO TO BE - HW'!W$4)/($E$4+'TCO TO BE - HW'!$E$4)*SUM(AKTIVITY_POZICIE!$M$53:$M$64))/AKTIVITY_POZICIE!$B$41*12,IF((AKTIVITY_POZICIE!$B$53-12*('TCO TO BE- SW'!$D157-1))&lt;0,0,(AKTIVITY_POZICIE!$B$53-12*('TCO TO BE- SW'!$D157-1))*((W$4+'TCO TO BE - HW'!W$4)/($E$4+'TCO TO BE - HW'!$E$4)*SUM(AKTIVITY_POZICIE!$M$53:$M$64))/AKTIVITY_POZICIE!$B$53)),0)</f>
        <v>0</v>
      </c>
      <c r="X167" s="577">
        <f>IFERROR(IF((POZICIE_INTERNE!$B$52-12*('TCO TO BE- SW'!$D157-1))&gt;12,((X$4+'TCO TO BE - HW'!X$4)/($E$4+'TCO TO BE - HW'!$E$4)*SUM(POZICIE_INTERNE!$I$52:$I$63))/POZICIE_INTERNE!$B$52*12,IF((POZICIE_INTERNE!$B$52-12*('TCO TO BE- SW'!$D157-1))&lt;0,0,(POZICIE_INTERNE!$B$52-12*('TCO TO BE- SW'!$D157-1))*((X$4+'TCO TO BE - HW'!X$4)/($E$4+'TCO TO BE - HW'!$E$4)*SUM(POZICIE_INTERNE!$I$52:$I$63))/POZICIE_INTERNE!$B$52)),0)+IFERROR(IF((AKTIVITY_POZICIE!$B$53-12*('TCO TO BE- SW'!$D157-1))&gt;12,((X$4+'TCO TO BE - HW'!X$4)/($E$4+'TCO TO BE - HW'!$E$4)*SUM(AKTIVITY_POZICIE!$M$53:$M$64))/AKTIVITY_POZICIE!$B$41*12,IF((AKTIVITY_POZICIE!$B$53-12*('TCO TO BE- SW'!$D157-1))&lt;0,0,(AKTIVITY_POZICIE!$B$53-12*('TCO TO BE- SW'!$D157-1))*((X$4+'TCO TO BE - HW'!X$4)/($E$4+'TCO TO BE - HW'!$E$4)*SUM(AKTIVITY_POZICIE!$M$53:$M$64))/AKTIVITY_POZICIE!$B$53)),0)</f>
        <v>0</v>
      </c>
      <c r="Y167" s="577">
        <f>IFERROR(IF((POZICIE_INTERNE!$B$52-12*('TCO TO BE- SW'!$D157-1))&gt;12,((Y$4+'TCO TO BE - HW'!Y$4)/($E$4+'TCO TO BE - HW'!$E$4)*SUM(POZICIE_INTERNE!$I$52:$I$63))/POZICIE_INTERNE!$B$52*12,IF((POZICIE_INTERNE!$B$52-12*('TCO TO BE- SW'!$D157-1))&lt;0,0,(POZICIE_INTERNE!$B$52-12*('TCO TO BE- SW'!$D157-1))*((Y$4+'TCO TO BE - HW'!Y$4)/($E$4+'TCO TO BE - HW'!$E$4)*SUM(POZICIE_INTERNE!$I$52:$I$63))/POZICIE_INTERNE!$B$52)),0)+IFERROR(IF((AKTIVITY_POZICIE!$B$53-12*('TCO TO BE- SW'!$D157-1))&gt;12,((Y$4+'TCO TO BE - HW'!Y$4)/($E$4+'TCO TO BE - HW'!$E$4)*SUM(AKTIVITY_POZICIE!$M$53:$M$64))/AKTIVITY_POZICIE!$B$41*12,IF((AKTIVITY_POZICIE!$B$53-12*('TCO TO BE- SW'!$D157-1))&lt;0,0,(AKTIVITY_POZICIE!$B$53-12*('TCO TO BE- SW'!$D157-1))*((Y$4+'TCO TO BE - HW'!Y$4)/($E$4+'TCO TO BE - HW'!$E$4)*SUM(AKTIVITY_POZICIE!$M$53:$M$64))/AKTIVITY_POZICIE!$B$53)),0)</f>
        <v>0</v>
      </c>
      <c r="Z167" s="577">
        <f>IFERROR(IF((POZICIE_INTERNE!$B$52-12*('TCO TO BE- SW'!$D157-1))&gt;12,((Z$4+'TCO TO BE - HW'!Z$4)/($E$4+'TCO TO BE - HW'!$E$4)*SUM(POZICIE_INTERNE!$I$52:$I$63))/POZICIE_INTERNE!$B$52*12,IF((POZICIE_INTERNE!$B$52-12*('TCO TO BE- SW'!$D157-1))&lt;0,0,(POZICIE_INTERNE!$B$52-12*('TCO TO BE- SW'!$D157-1))*((Z$4+'TCO TO BE - HW'!Z$4)/($E$4+'TCO TO BE - HW'!$E$4)*SUM(POZICIE_INTERNE!$I$52:$I$63))/POZICIE_INTERNE!$B$52)),0)+IFERROR(IF((AKTIVITY_POZICIE!$B$53-12*('TCO TO BE- SW'!$D157-1))&gt;12,((Z$4+'TCO TO BE - HW'!Z$4)/($E$4+'TCO TO BE - HW'!$E$4)*SUM(AKTIVITY_POZICIE!$M$53:$M$64))/AKTIVITY_POZICIE!$B$41*12,IF((AKTIVITY_POZICIE!$B$53-12*('TCO TO BE- SW'!$D157-1))&lt;0,0,(AKTIVITY_POZICIE!$B$53-12*('TCO TO BE- SW'!$D157-1))*((Z$4+'TCO TO BE - HW'!Z$4)/($E$4+'TCO TO BE - HW'!$E$4)*SUM(AKTIVITY_POZICIE!$M$53:$M$64))/AKTIVITY_POZICIE!$B$53)),0)</f>
        <v>0</v>
      </c>
    </row>
    <row r="168" spans="1:26">
      <c r="A168" s="824"/>
      <c r="B168" s="825"/>
      <c r="C168" s="825"/>
      <c r="D168" s="64">
        <v>8</v>
      </c>
      <c r="E168" s="68">
        <f t="shared" si="16"/>
        <v>0</v>
      </c>
      <c r="F168" s="577">
        <f>IFERROR(IF((POZICIE_INTERNE!$B$52-12*('TCO TO BE- SW'!$D158-1))&gt;12,((F$4+'TCO TO BE - HW'!F$4)/($E$4+'TCO TO BE - HW'!$E$4)*SUM(POZICIE_INTERNE!$I$52:$I$63))/POZICIE_INTERNE!$B$52*12,IF((POZICIE_INTERNE!$B$52-12*('TCO TO BE- SW'!$D158-1))&lt;0,0,(POZICIE_INTERNE!$B$52-12*('TCO TO BE- SW'!$D158-1))*((F$4+'TCO TO BE - HW'!F$4)/($E$4+'TCO TO BE - HW'!$E$4)*SUM(POZICIE_INTERNE!$I$52:$I$63))/POZICIE_INTERNE!$B$52)),0)+IFERROR(IF((AKTIVITY_POZICIE!$B$53-12*('TCO TO BE- SW'!$D158-1))&gt;12,((F$4+'TCO TO BE - HW'!F$4)/($E$4+'TCO TO BE - HW'!$E$4)*SUM(AKTIVITY_POZICIE!$M$53:$M$64))/AKTIVITY_POZICIE!$B$41*12,IF((AKTIVITY_POZICIE!$B$53-12*('TCO TO BE- SW'!$D158-1))&lt;0,0,(AKTIVITY_POZICIE!$B$53-12*('TCO TO BE- SW'!$D158-1))*((F$4+'TCO TO BE - HW'!F$4)/($E$4+'TCO TO BE - HW'!$E$4)*SUM(AKTIVITY_POZICIE!$M$53:$M$64))/AKTIVITY_POZICIE!$B$53)),0)</f>
        <v>0</v>
      </c>
      <c r="G168" s="577">
        <f>IFERROR(IF((POZICIE_INTERNE!$B$52-12*('TCO TO BE- SW'!$D158-1))&gt;12,((G$4+'TCO TO BE - HW'!G$4)/($E$4+'TCO TO BE - HW'!$E$4)*SUM(POZICIE_INTERNE!$I$52:$I$63))/POZICIE_INTERNE!$B$52*12,IF((POZICIE_INTERNE!$B$52-12*('TCO TO BE- SW'!$D158-1))&lt;0,0,(POZICIE_INTERNE!$B$52-12*('TCO TO BE- SW'!$D158-1))*((G$4+'TCO TO BE - HW'!G$4)/($E$4+'TCO TO BE - HW'!$E$4)*SUM(POZICIE_INTERNE!$I$52:$I$63))/POZICIE_INTERNE!$B$52)),0)+IFERROR(IF((AKTIVITY_POZICIE!$B$53-12*('TCO TO BE- SW'!$D158-1))&gt;12,((G$4+'TCO TO BE - HW'!G$4)/($E$4+'TCO TO BE - HW'!$E$4)*SUM(AKTIVITY_POZICIE!$M$53:$M$64))/AKTIVITY_POZICIE!$B$41*12,IF((AKTIVITY_POZICIE!$B$53-12*('TCO TO BE- SW'!$D158-1))&lt;0,0,(AKTIVITY_POZICIE!$B$53-12*('TCO TO BE- SW'!$D158-1))*((G$4+'TCO TO BE - HW'!G$4)/($E$4+'TCO TO BE - HW'!$E$4)*SUM(AKTIVITY_POZICIE!$M$53:$M$64))/AKTIVITY_POZICIE!$B$53)),0)</f>
        <v>0</v>
      </c>
      <c r="H168" s="577">
        <f>IFERROR(IF((POZICIE_INTERNE!$B$52-12*('TCO TO BE- SW'!$D158-1))&gt;12,((H$4+'TCO TO BE - HW'!H$4)/($E$4+'TCO TO BE - HW'!$E$4)*SUM(POZICIE_INTERNE!$I$52:$I$63))/POZICIE_INTERNE!$B$52*12,IF((POZICIE_INTERNE!$B$52-12*('TCO TO BE- SW'!$D158-1))&lt;0,0,(POZICIE_INTERNE!$B$52-12*('TCO TO BE- SW'!$D158-1))*((H$4+'TCO TO BE - HW'!H$4)/($E$4+'TCO TO BE - HW'!$E$4)*SUM(POZICIE_INTERNE!$I$52:$I$63))/POZICIE_INTERNE!$B$52)),0)+IFERROR(IF((AKTIVITY_POZICIE!$B$53-12*('TCO TO BE- SW'!$D158-1))&gt;12,((H$4+'TCO TO BE - HW'!H$4)/($E$4+'TCO TO BE - HW'!$E$4)*SUM(AKTIVITY_POZICIE!$M$53:$M$64))/AKTIVITY_POZICIE!$B$41*12,IF((AKTIVITY_POZICIE!$B$53-12*('TCO TO BE- SW'!$D158-1))&lt;0,0,(AKTIVITY_POZICIE!$B$53-12*('TCO TO BE- SW'!$D158-1))*((H$4+'TCO TO BE - HW'!H$4)/($E$4+'TCO TO BE - HW'!$E$4)*SUM(AKTIVITY_POZICIE!$M$53:$M$64))/AKTIVITY_POZICIE!$B$53)),0)</f>
        <v>0</v>
      </c>
      <c r="I168" s="577">
        <f>IFERROR(IF((POZICIE_INTERNE!$B$52-12*('TCO TO BE- SW'!$D158-1))&gt;12,((I$4+'TCO TO BE - HW'!I$4)/($E$4+'TCO TO BE - HW'!$E$4)*SUM(POZICIE_INTERNE!$I$52:$I$63))/POZICIE_INTERNE!$B$52*12,IF((POZICIE_INTERNE!$B$52-12*('TCO TO BE- SW'!$D158-1))&lt;0,0,(POZICIE_INTERNE!$B$52-12*('TCO TO BE- SW'!$D158-1))*((I$4+'TCO TO BE - HW'!I$4)/($E$4+'TCO TO BE - HW'!$E$4)*SUM(POZICIE_INTERNE!$I$52:$I$63))/POZICIE_INTERNE!$B$52)),0)+IFERROR(IF((AKTIVITY_POZICIE!$B$53-12*('TCO TO BE- SW'!$D158-1))&gt;12,((I$4+'TCO TO BE - HW'!I$4)/($E$4+'TCO TO BE - HW'!$E$4)*SUM(AKTIVITY_POZICIE!$M$53:$M$64))/AKTIVITY_POZICIE!$B$41*12,IF((AKTIVITY_POZICIE!$B$53-12*('TCO TO BE- SW'!$D158-1))&lt;0,0,(AKTIVITY_POZICIE!$B$53-12*('TCO TO BE- SW'!$D158-1))*((I$4+'TCO TO BE - HW'!I$4)/($E$4+'TCO TO BE - HW'!$E$4)*SUM(AKTIVITY_POZICIE!$M$53:$M$64))/AKTIVITY_POZICIE!$B$53)),0)</f>
        <v>0</v>
      </c>
      <c r="J168" s="577">
        <f>IFERROR(IF((POZICIE_INTERNE!$B$52-12*('TCO TO BE- SW'!$D158-1))&gt;12,((J$4+'TCO TO BE - HW'!J$4)/($E$4+'TCO TO BE - HW'!$E$4)*SUM(POZICIE_INTERNE!$I$52:$I$63))/POZICIE_INTERNE!$B$52*12,IF((POZICIE_INTERNE!$B$52-12*('TCO TO BE- SW'!$D158-1))&lt;0,0,(POZICIE_INTERNE!$B$52-12*('TCO TO BE- SW'!$D158-1))*((J$4+'TCO TO BE - HW'!J$4)/($E$4+'TCO TO BE - HW'!$E$4)*SUM(POZICIE_INTERNE!$I$52:$I$63))/POZICIE_INTERNE!$B$52)),0)+IFERROR(IF((AKTIVITY_POZICIE!$B$53-12*('TCO TO BE- SW'!$D158-1))&gt;12,((J$4+'TCO TO BE - HW'!J$4)/($E$4+'TCO TO BE - HW'!$E$4)*SUM(AKTIVITY_POZICIE!$M$53:$M$64))/AKTIVITY_POZICIE!$B$41*12,IF((AKTIVITY_POZICIE!$B$53-12*('TCO TO BE- SW'!$D158-1))&lt;0,0,(AKTIVITY_POZICIE!$B$53-12*('TCO TO BE- SW'!$D158-1))*((J$4+'TCO TO BE - HW'!J$4)/($E$4+'TCO TO BE - HW'!$E$4)*SUM(AKTIVITY_POZICIE!$M$53:$M$64))/AKTIVITY_POZICIE!$B$53)),0)</f>
        <v>0</v>
      </c>
      <c r="K168" s="577">
        <f>IFERROR(IF((POZICIE_INTERNE!$B$52-12*('TCO TO BE- SW'!$D158-1))&gt;12,((K$4+'TCO TO BE - HW'!K$4)/($E$4+'TCO TO BE - HW'!$E$4)*SUM(POZICIE_INTERNE!$I$52:$I$63))/POZICIE_INTERNE!$B$52*12,IF((POZICIE_INTERNE!$B$52-12*('TCO TO BE- SW'!$D158-1))&lt;0,0,(POZICIE_INTERNE!$B$52-12*('TCO TO BE- SW'!$D158-1))*((K$4+'TCO TO BE - HW'!K$4)/($E$4+'TCO TO BE - HW'!$E$4)*SUM(POZICIE_INTERNE!$I$52:$I$63))/POZICIE_INTERNE!$B$52)),0)+IFERROR(IF((AKTIVITY_POZICIE!$B$53-12*('TCO TO BE- SW'!$D158-1))&gt;12,((K$4+'TCO TO BE - HW'!K$4)/($E$4+'TCO TO BE - HW'!$E$4)*SUM(AKTIVITY_POZICIE!$M$53:$M$64))/AKTIVITY_POZICIE!$B$41*12,IF((AKTIVITY_POZICIE!$B$53-12*('TCO TO BE- SW'!$D158-1))&lt;0,0,(AKTIVITY_POZICIE!$B$53-12*('TCO TO BE- SW'!$D158-1))*((K$4+'TCO TO BE - HW'!K$4)/($E$4+'TCO TO BE - HW'!$E$4)*SUM(AKTIVITY_POZICIE!$M$53:$M$64))/AKTIVITY_POZICIE!$B$53)),0)</f>
        <v>0</v>
      </c>
      <c r="L168" s="577">
        <f>IFERROR(IF((POZICIE_INTERNE!$B$52-12*('TCO TO BE- SW'!$D158-1))&gt;12,((L$4+'TCO TO BE - HW'!L$4)/($E$4+'TCO TO BE - HW'!$E$4)*SUM(POZICIE_INTERNE!$I$52:$I$63))/POZICIE_INTERNE!$B$52*12,IF((POZICIE_INTERNE!$B$52-12*('TCO TO BE- SW'!$D158-1))&lt;0,0,(POZICIE_INTERNE!$B$52-12*('TCO TO BE- SW'!$D158-1))*((L$4+'TCO TO BE - HW'!L$4)/($E$4+'TCO TO BE - HW'!$E$4)*SUM(POZICIE_INTERNE!$I$52:$I$63))/POZICIE_INTERNE!$B$52)),0)+IFERROR(IF((AKTIVITY_POZICIE!$B$53-12*('TCO TO BE- SW'!$D158-1))&gt;12,((L$4+'TCO TO BE - HW'!L$4)/($E$4+'TCO TO BE - HW'!$E$4)*SUM(AKTIVITY_POZICIE!$M$53:$M$64))/AKTIVITY_POZICIE!$B$41*12,IF((AKTIVITY_POZICIE!$B$53-12*('TCO TO BE- SW'!$D158-1))&lt;0,0,(AKTIVITY_POZICIE!$B$53-12*('TCO TO BE- SW'!$D158-1))*((L$4+'TCO TO BE - HW'!L$4)/($E$4+'TCO TO BE - HW'!$E$4)*SUM(AKTIVITY_POZICIE!$M$53:$M$64))/AKTIVITY_POZICIE!$B$53)),0)</f>
        <v>0</v>
      </c>
      <c r="M168" s="577">
        <f>IFERROR(IF((POZICIE_INTERNE!$B$52-12*('TCO TO BE- SW'!$D158-1))&gt;12,((M$4+'TCO TO BE - HW'!M$4)/($E$4+'TCO TO BE - HW'!$E$4)*SUM(POZICIE_INTERNE!$I$52:$I$63))/POZICIE_INTERNE!$B$52*12,IF((POZICIE_INTERNE!$B$52-12*('TCO TO BE- SW'!$D158-1))&lt;0,0,(POZICIE_INTERNE!$B$52-12*('TCO TO BE- SW'!$D158-1))*((M$4+'TCO TO BE - HW'!M$4)/($E$4+'TCO TO BE - HW'!$E$4)*SUM(POZICIE_INTERNE!$I$52:$I$63))/POZICIE_INTERNE!$B$52)),0)+IFERROR(IF((AKTIVITY_POZICIE!$B$53-12*('TCO TO BE- SW'!$D158-1))&gt;12,((M$4+'TCO TO BE - HW'!M$4)/($E$4+'TCO TO BE - HW'!$E$4)*SUM(AKTIVITY_POZICIE!$M$53:$M$64))/AKTIVITY_POZICIE!$B$41*12,IF((AKTIVITY_POZICIE!$B$53-12*('TCO TO BE- SW'!$D158-1))&lt;0,0,(AKTIVITY_POZICIE!$B$53-12*('TCO TO BE- SW'!$D158-1))*((M$4+'TCO TO BE - HW'!M$4)/($E$4+'TCO TO BE - HW'!$E$4)*SUM(AKTIVITY_POZICIE!$M$53:$M$64))/AKTIVITY_POZICIE!$B$53)),0)</f>
        <v>0</v>
      </c>
      <c r="N168" s="577">
        <f>IFERROR(IF((POZICIE_INTERNE!$B$52-12*('TCO TO BE- SW'!$D158-1))&gt;12,((N$4+'TCO TO BE - HW'!N$4)/($E$4+'TCO TO BE - HW'!$E$4)*SUM(POZICIE_INTERNE!$I$52:$I$63))/POZICIE_INTERNE!$B$52*12,IF((POZICIE_INTERNE!$B$52-12*('TCO TO BE- SW'!$D158-1))&lt;0,0,(POZICIE_INTERNE!$B$52-12*('TCO TO BE- SW'!$D158-1))*((N$4+'TCO TO BE - HW'!N$4)/($E$4+'TCO TO BE - HW'!$E$4)*SUM(POZICIE_INTERNE!$I$52:$I$63))/POZICIE_INTERNE!$B$52)),0)+IFERROR(IF((AKTIVITY_POZICIE!$B$53-12*('TCO TO BE- SW'!$D158-1))&gt;12,((N$4+'TCO TO BE - HW'!N$4)/($E$4+'TCO TO BE - HW'!$E$4)*SUM(AKTIVITY_POZICIE!$M$53:$M$64))/AKTIVITY_POZICIE!$B$41*12,IF((AKTIVITY_POZICIE!$B$53-12*('TCO TO BE- SW'!$D158-1))&lt;0,0,(AKTIVITY_POZICIE!$B$53-12*('TCO TO BE- SW'!$D158-1))*((N$4+'TCO TO BE - HW'!N$4)/($E$4+'TCO TO BE - HW'!$E$4)*SUM(AKTIVITY_POZICIE!$M$53:$M$64))/AKTIVITY_POZICIE!$B$53)),0)</f>
        <v>0</v>
      </c>
      <c r="O168" s="577">
        <f>IFERROR(IF((POZICIE_INTERNE!$B$52-12*('TCO TO BE- SW'!$D158-1))&gt;12,((O$4+'TCO TO BE - HW'!O$4)/($E$4+'TCO TO BE - HW'!$E$4)*SUM(POZICIE_INTERNE!$I$52:$I$63))/POZICIE_INTERNE!$B$52*12,IF((POZICIE_INTERNE!$B$52-12*('TCO TO BE- SW'!$D158-1))&lt;0,0,(POZICIE_INTERNE!$B$52-12*('TCO TO BE- SW'!$D158-1))*((O$4+'TCO TO BE - HW'!O$4)/($E$4+'TCO TO BE - HW'!$E$4)*SUM(POZICIE_INTERNE!$I$52:$I$63))/POZICIE_INTERNE!$B$52)),0)+IFERROR(IF((AKTIVITY_POZICIE!$B$53-12*('TCO TO BE- SW'!$D158-1))&gt;12,((O$4+'TCO TO BE - HW'!O$4)/($E$4+'TCO TO BE - HW'!$E$4)*SUM(AKTIVITY_POZICIE!$M$53:$M$64))/AKTIVITY_POZICIE!$B$41*12,IF((AKTIVITY_POZICIE!$B$53-12*('TCO TO BE- SW'!$D158-1))&lt;0,0,(AKTIVITY_POZICIE!$B$53-12*('TCO TO BE- SW'!$D158-1))*((O$4+'TCO TO BE - HW'!O$4)/($E$4+'TCO TO BE - HW'!$E$4)*SUM(AKTIVITY_POZICIE!$M$53:$M$64))/AKTIVITY_POZICIE!$B$53)),0)</f>
        <v>0</v>
      </c>
      <c r="P168" s="577">
        <f>IFERROR(IF((POZICIE_INTERNE!$B$52-12*('TCO TO BE- SW'!$D158-1))&gt;12,((P$4+'TCO TO BE - HW'!P$4)/($E$4+'TCO TO BE - HW'!$E$4)*SUM(POZICIE_INTERNE!$I$52:$I$63))/POZICIE_INTERNE!$B$52*12,IF((POZICIE_INTERNE!$B$52-12*('TCO TO BE- SW'!$D158-1))&lt;0,0,(POZICIE_INTERNE!$B$52-12*('TCO TO BE- SW'!$D158-1))*((P$4+'TCO TO BE - HW'!P$4)/($E$4+'TCO TO BE - HW'!$E$4)*SUM(POZICIE_INTERNE!$I$52:$I$63))/POZICIE_INTERNE!$B$52)),0)+IFERROR(IF((AKTIVITY_POZICIE!$B$53-12*('TCO TO BE- SW'!$D158-1))&gt;12,((P$4+'TCO TO BE - HW'!P$4)/($E$4+'TCO TO BE - HW'!$E$4)*SUM(AKTIVITY_POZICIE!$M$53:$M$64))/AKTIVITY_POZICIE!$B$41*12,IF((AKTIVITY_POZICIE!$B$53-12*('TCO TO BE- SW'!$D158-1))&lt;0,0,(AKTIVITY_POZICIE!$B$53-12*('TCO TO BE- SW'!$D158-1))*((P$4+'TCO TO BE - HW'!P$4)/($E$4+'TCO TO BE - HW'!$E$4)*SUM(AKTIVITY_POZICIE!$M$53:$M$64))/AKTIVITY_POZICIE!$B$53)),0)</f>
        <v>0</v>
      </c>
      <c r="Q168" s="577">
        <f>IFERROR(IF((POZICIE_INTERNE!$B$52-12*('TCO TO BE- SW'!$D158-1))&gt;12,((Q$4+'TCO TO BE - HW'!Q$4)/($E$4+'TCO TO BE - HW'!$E$4)*SUM(POZICIE_INTERNE!$I$52:$I$63))/POZICIE_INTERNE!$B$52*12,IF((POZICIE_INTERNE!$B$52-12*('TCO TO BE- SW'!$D158-1))&lt;0,0,(POZICIE_INTERNE!$B$52-12*('TCO TO BE- SW'!$D158-1))*((Q$4+'TCO TO BE - HW'!Q$4)/($E$4+'TCO TO BE - HW'!$E$4)*SUM(POZICIE_INTERNE!$I$52:$I$63))/POZICIE_INTERNE!$B$52)),0)+IFERROR(IF((AKTIVITY_POZICIE!$B$53-12*('TCO TO BE- SW'!$D158-1))&gt;12,((Q$4+'TCO TO BE - HW'!Q$4)/($E$4+'TCO TO BE - HW'!$E$4)*SUM(AKTIVITY_POZICIE!$M$53:$M$64))/AKTIVITY_POZICIE!$B$41*12,IF((AKTIVITY_POZICIE!$B$53-12*('TCO TO BE- SW'!$D158-1))&lt;0,0,(AKTIVITY_POZICIE!$B$53-12*('TCO TO BE- SW'!$D158-1))*((Q$4+'TCO TO BE - HW'!Q$4)/($E$4+'TCO TO BE - HW'!$E$4)*SUM(AKTIVITY_POZICIE!$M$53:$M$64))/AKTIVITY_POZICIE!$B$53)),0)</f>
        <v>0</v>
      </c>
      <c r="R168" s="577">
        <f>IFERROR(IF((POZICIE_INTERNE!$B$52-12*('TCO TO BE- SW'!$D158-1))&gt;12,((R$4+'TCO TO BE - HW'!R$4)/($E$4+'TCO TO BE - HW'!$E$4)*SUM(POZICIE_INTERNE!$I$52:$I$63))/POZICIE_INTERNE!$B$52*12,IF((POZICIE_INTERNE!$B$52-12*('TCO TO BE- SW'!$D158-1))&lt;0,0,(POZICIE_INTERNE!$B$52-12*('TCO TO BE- SW'!$D158-1))*((R$4+'TCO TO BE - HW'!R$4)/($E$4+'TCO TO BE - HW'!$E$4)*SUM(POZICIE_INTERNE!$I$52:$I$63))/POZICIE_INTERNE!$B$52)),0)+IFERROR(IF((AKTIVITY_POZICIE!$B$53-12*('TCO TO BE- SW'!$D158-1))&gt;12,((R$4+'TCO TO BE - HW'!R$4)/($E$4+'TCO TO BE - HW'!$E$4)*SUM(AKTIVITY_POZICIE!$M$53:$M$64))/AKTIVITY_POZICIE!$B$41*12,IF((AKTIVITY_POZICIE!$B$53-12*('TCO TO BE- SW'!$D158-1))&lt;0,0,(AKTIVITY_POZICIE!$B$53-12*('TCO TO BE- SW'!$D158-1))*((R$4+'TCO TO BE - HW'!R$4)/($E$4+'TCO TO BE - HW'!$E$4)*SUM(AKTIVITY_POZICIE!$M$53:$M$64))/AKTIVITY_POZICIE!$B$53)),0)</f>
        <v>0</v>
      </c>
      <c r="S168" s="577">
        <f>IFERROR(IF((POZICIE_INTERNE!$B$52-12*('TCO TO BE- SW'!$D158-1))&gt;12,((S$4+'TCO TO BE - HW'!S$4)/($E$4+'TCO TO BE - HW'!$E$4)*SUM(POZICIE_INTERNE!$I$52:$I$63))/POZICIE_INTERNE!$B$52*12,IF((POZICIE_INTERNE!$B$52-12*('TCO TO BE- SW'!$D158-1))&lt;0,0,(POZICIE_INTERNE!$B$52-12*('TCO TO BE- SW'!$D158-1))*((S$4+'TCO TO BE - HW'!S$4)/($E$4+'TCO TO BE - HW'!$E$4)*SUM(POZICIE_INTERNE!$I$52:$I$63))/POZICIE_INTERNE!$B$52)),0)+IFERROR(IF((AKTIVITY_POZICIE!$B$53-12*('TCO TO BE- SW'!$D158-1))&gt;12,((S$4+'TCO TO BE - HW'!S$4)/($E$4+'TCO TO BE - HW'!$E$4)*SUM(AKTIVITY_POZICIE!$M$53:$M$64))/AKTIVITY_POZICIE!$B$41*12,IF((AKTIVITY_POZICIE!$B$53-12*('TCO TO BE- SW'!$D158-1))&lt;0,0,(AKTIVITY_POZICIE!$B$53-12*('TCO TO BE- SW'!$D158-1))*((S$4+'TCO TO BE - HW'!S$4)/($E$4+'TCO TO BE - HW'!$E$4)*SUM(AKTIVITY_POZICIE!$M$53:$M$64))/AKTIVITY_POZICIE!$B$53)),0)</f>
        <v>0</v>
      </c>
      <c r="T168" s="577">
        <f>IFERROR(IF((POZICIE_INTERNE!$B$52-12*('TCO TO BE- SW'!$D158-1))&gt;12,((T$4+'TCO TO BE - HW'!T$4)/($E$4+'TCO TO BE - HW'!$E$4)*SUM(POZICIE_INTERNE!$I$52:$I$63))/POZICIE_INTERNE!$B$52*12,IF((POZICIE_INTERNE!$B$52-12*('TCO TO BE- SW'!$D158-1))&lt;0,0,(POZICIE_INTERNE!$B$52-12*('TCO TO BE- SW'!$D158-1))*((T$4+'TCO TO BE - HW'!T$4)/($E$4+'TCO TO BE - HW'!$E$4)*SUM(POZICIE_INTERNE!$I$52:$I$63))/POZICIE_INTERNE!$B$52)),0)+IFERROR(IF((AKTIVITY_POZICIE!$B$53-12*('TCO TO BE- SW'!$D158-1))&gt;12,((T$4+'TCO TO BE - HW'!T$4)/($E$4+'TCO TO BE - HW'!$E$4)*SUM(AKTIVITY_POZICIE!$M$53:$M$64))/AKTIVITY_POZICIE!$B$41*12,IF((AKTIVITY_POZICIE!$B$53-12*('TCO TO BE- SW'!$D158-1))&lt;0,0,(AKTIVITY_POZICIE!$B$53-12*('TCO TO BE- SW'!$D158-1))*((T$4+'TCO TO BE - HW'!T$4)/($E$4+'TCO TO BE - HW'!$E$4)*SUM(AKTIVITY_POZICIE!$M$53:$M$64))/AKTIVITY_POZICIE!$B$53)),0)</f>
        <v>0</v>
      </c>
      <c r="U168" s="577">
        <f>IFERROR(IF((POZICIE_INTERNE!$B$52-12*('TCO TO BE- SW'!$D158-1))&gt;12,((U$4+'TCO TO BE - HW'!U$4)/($E$4+'TCO TO BE - HW'!$E$4)*SUM(POZICIE_INTERNE!$I$52:$I$63))/POZICIE_INTERNE!$B$52*12,IF((POZICIE_INTERNE!$B$52-12*('TCO TO BE- SW'!$D158-1))&lt;0,0,(POZICIE_INTERNE!$B$52-12*('TCO TO BE- SW'!$D158-1))*((U$4+'TCO TO BE - HW'!U$4)/($E$4+'TCO TO BE - HW'!$E$4)*SUM(POZICIE_INTERNE!$I$52:$I$63))/POZICIE_INTERNE!$B$52)),0)+IFERROR(IF((AKTIVITY_POZICIE!$B$53-12*('TCO TO BE- SW'!$D158-1))&gt;12,((U$4+'TCO TO BE - HW'!U$4)/($E$4+'TCO TO BE - HW'!$E$4)*SUM(AKTIVITY_POZICIE!$M$53:$M$64))/AKTIVITY_POZICIE!$B$41*12,IF((AKTIVITY_POZICIE!$B$53-12*('TCO TO BE- SW'!$D158-1))&lt;0,0,(AKTIVITY_POZICIE!$B$53-12*('TCO TO BE- SW'!$D158-1))*((U$4+'TCO TO BE - HW'!U$4)/($E$4+'TCO TO BE - HW'!$E$4)*SUM(AKTIVITY_POZICIE!$M$53:$M$64))/AKTIVITY_POZICIE!$B$53)),0)</f>
        <v>0</v>
      </c>
      <c r="V168" s="577">
        <f>IFERROR(IF((POZICIE_INTERNE!$B$52-12*('TCO TO BE- SW'!$D158-1))&gt;12,((V$4+'TCO TO BE - HW'!V$4)/($E$4+'TCO TO BE - HW'!$E$4)*SUM(POZICIE_INTERNE!$I$52:$I$63))/POZICIE_INTERNE!$B$52*12,IF((POZICIE_INTERNE!$B$52-12*('TCO TO BE- SW'!$D158-1))&lt;0,0,(POZICIE_INTERNE!$B$52-12*('TCO TO BE- SW'!$D158-1))*((V$4+'TCO TO BE - HW'!V$4)/($E$4+'TCO TO BE - HW'!$E$4)*SUM(POZICIE_INTERNE!$I$52:$I$63))/POZICIE_INTERNE!$B$52)),0)+IFERROR(IF((AKTIVITY_POZICIE!$B$53-12*('TCO TO BE- SW'!$D158-1))&gt;12,((V$4+'TCO TO BE - HW'!V$4)/($E$4+'TCO TO BE - HW'!$E$4)*SUM(AKTIVITY_POZICIE!$M$53:$M$64))/AKTIVITY_POZICIE!$B$41*12,IF((AKTIVITY_POZICIE!$B$53-12*('TCO TO BE- SW'!$D158-1))&lt;0,0,(AKTIVITY_POZICIE!$B$53-12*('TCO TO BE- SW'!$D158-1))*((V$4+'TCO TO BE - HW'!V$4)/($E$4+'TCO TO BE - HW'!$E$4)*SUM(AKTIVITY_POZICIE!$M$53:$M$64))/AKTIVITY_POZICIE!$B$53)),0)</f>
        <v>0</v>
      </c>
      <c r="W168" s="577">
        <f>IFERROR(IF((POZICIE_INTERNE!$B$52-12*('TCO TO BE- SW'!$D158-1))&gt;12,((W$4+'TCO TO BE - HW'!W$4)/($E$4+'TCO TO BE - HW'!$E$4)*SUM(POZICIE_INTERNE!$I$52:$I$63))/POZICIE_INTERNE!$B$52*12,IF((POZICIE_INTERNE!$B$52-12*('TCO TO BE- SW'!$D158-1))&lt;0,0,(POZICIE_INTERNE!$B$52-12*('TCO TO BE- SW'!$D158-1))*((W$4+'TCO TO BE - HW'!W$4)/($E$4+'TCO TO BE - HW'!$E$4)*SUM(POZICIE_INTERNE!$I$52:$I$63))/POZICIE_INTERNE!$B$52)),0)+IFERROR(IF((AKTIVITY_POZICIE!$B$53-12*('TCO TO BE- SW'!$D158-1))&gt;12,((W$4+'TCO TO BE - HW'!W$4)/($E$4+'TCO TO BE - HW'!$E$4)*SUM(AKTIVITY_POZICIE!$M$53:$M$64))/AKTIVITY_POZICIE!$B$41*12,IF((AKTIVITY_POZICIE!$B$53-12*('TCO TO BE- SW'!$D158-1))&lt;0,0,(AKTIVITY_POZICIE!$B$53-12*('TCO TO BE- SW'!$D158-1))*((W$4+'TCO TO BE - HW'!W$4)/($E$4+'TCO TO BE - HW'!$E$4)*SUM(AKTIVITY_POZICIE!$M$53:$M$64))/AKTIVITY_POZICIE!$B$53)),0)</f>
        <v>0</v>
      </c>
      <c r="X168" s="577">
        <f>IFERROR(IF((POZICIE_INTERNE!$B$52-12*('TCO TO BE- SW'!$D158-1))&gt;12,((X$4+'TCO TO BE - HW'!X$4)/($E$4+'TCO TO BE - HW'!$E$4)*SUM(POZICIE_INTERNE!$I$52:$I$63))/POZICIE_INTERNE!$B$52*12,IF((POZICIE_INTERNE!$B$52-12*('TCO TO BE- SW'!$D158-1))&lt;0,0,(POZICIE_INTERNE!$B$52-12*('TCO TO BE- SW'!$D158-1))*((X$4+'TCO TO BE - HW'!X$4)/($E$4+'TCO TO BE - HW'!$E$4)*SUM(POZICIE_INTERNE!$I$52:$I$63))/POZICIE_INTERNE!$B$52)),0)+IFERROR(IF((AKTIVITY_POZICIE!$B$53-12*('TCO TO BE- SW'!$D158-1))&gt;12,((X$4+'TCO TO BE - HW'!X$4)/($E$4+'TCO TO BE - HW'!$E$4)*SUM(AKTIVITY_POZICIE!$M$53:$M$64))/AKTIVITY_POZICIE!$B$41*12,IF((AKTIVITY_POZICIE!$B$53-12*('TCO TO BE- SW'!$D158-1))&lt;0,0,(AKTIVITY_POZICIE!$B$53-12*('TCO TO BE- SW'!$D158-1))*((X$4+'TCO TO BE - HW'!X$4)/($E$4+'TCO TO BE - HW'!$E$4)*SUM(AKTIVITY_POZICIE!$M$53:$M$64))/AKTIVITY_POZICIE!$B$53)),0)</f>
        <v>0</v>
      </c>
      <c r="Y168" s="577">
        <f>IFERROR(IF((POZICIE_INTERNE!$B$52-12*('TCO TO BE- SW'!$D158-1))&gt;12,((Y$4+'TCO TO BE - HW'!Y$4)/($E$4+'TCO TO BE - HW'!$E$4)*SUM(POZICIE_INTERNE!$I$52:$I$63))/POZICIE_INTERNE!$B$52*12,IF((POZICIE_INTERNE!$B$52-12*('TCO TO BE- SW'!$D158-1))&lt;0,0,(POZICIE_INTERNE!$B$52-12*('TCO TO BE- SW'!$D158-1))*((Y$4+'TCO TO BE - HW'!Y$4)/($E$4+'TCO TO BE - HW'!$E$4)*SUM(POZICIE_INTERNE!$I$52:$I$63))/POZICIE_INTERNE!$B$52)),0)+IFERROR(IF((AKTIVITY_POZICIE!$B$53-12*('TCO TO BE- SW'!$D158-1))&gt;12,((Y$4+'TCO TO BE - HW'!Y$4)/($E$4+'TCO TO BE - HW'!$E$4)*SUM(AKTIVITY_POZICIE!$M$53:$M$64))/AKTIVITY_POZICIE!$B$41*12,IF((AKTIVITY_POZICIE!$B$53-12*('TCO TO BE- SW'!$D158-1))&lt;0,0,(AKTIVITY_POZICIE!$B$53-12*('TCO TO BE- SW'!$D158-1))*((Y$4+'TCO TO BE - HW'!Y$4)/($E$4+'TCO TO BE - HW'!$E$4)*SUM(AKTIVITY_POZICIE!$M$53:$M$64))/AKTIVITY_POZICIE!$B$53)),0)</f>
        <v>0</v>
      </c>
      <c r="Z168" s="577">
        <f>IFERROR(IF((POZICIE_INTERNE!$B$52-12*('TCO TO BE- SW'!$D158-1))&gt;12,((Z$4+'TCO TO BE - HW'!Z$4)/($E$4+'TCO TO BE - HW'!$E$4)*SUM(POZICIE_INTERNE!$I$52:$I$63))/POZICIE_INTERNE!$B$52*12,IF((POZICIE_INTERNE!$B$52-12*('TCO TO BE- SW'!$D158-1))&lt;0,0,(POZICIE_INTERNE!$B$52-12*('TCO TO BE- SW'!$D158-1))*((Z$4+'TCO TO BE - HW'!Z$4)/($E$4+'TCO TO BE - HW'!$E$4)*SUM(POZICIE_INTERNE!$I$52:$I$63))/POZICIE_INTERNE!$B$52)),0)+IFERROR(IF((AKTIVITY_POZICIE!$B$53-12*('TCO TO BE- SW'!$D158-1))&gt;12,((Z$4+'TCO TO BE - HW'!Z$4)/($E$4+'TCO TO BE - HW'!$E$4)*SUM(AKTIVITY_POZICIE!$M$53:$M$64))/AKTIVITY_POZICIE!$B$41*12,IF((AKTIVITY_POZICIE!$B$53-12*('TCO TO BE- SW'!$D158-1))&lt;0,0,(AKTIVITY_POZICIE!$B$53-12*('TCO TO BE- SW'!$D158-1))*((Z$4+'TCO TO BE - HW'!Z$4)/($E$4+'TCO TO BE - HW'!$E$4)*SUM(AKTIVITY_POZICIE!$M$53:$M$64))/AKTIVITY_POZICIE!$B$53)),0)</f>
        <v>0</v>
      </c>
    </row>
    <row r="169" spans="1:26">
      <c r="A169" s="824"/>
      <c r="B169" s="825"/>
      <c r="C169" s="825"/>
      <c r="D169" s="64">
        <v>9</v>
      </c>
      <c r="E169" s="68">
        <f t="shared" si="16"/>
        <v>0</v>
      </c>
      <c r="F169" s="577">
        <f>IFERROR(IF((POZICIE_INTERNE!$B$52-12*('TCO TO BE- SW'!$D159-1))&gt;12,((F$4+'TCO TO BE - HW'!F$4)/($E$4+'TCO TO BE - HW'!$E$4)*SUM(POZICIE_INTERNE!$I$52:$I$63))/POZICIE_INTERNE!$B$52*12,IF((POZICIE_INTERNE!$B$52-12*('TCO TO BE- SW'!$D159-1))&lt;0,0,(POZICIE_INTERNE!$B$52-12*('TCO TO BE- SW'!$D159-1))*((F$4+'TCO TO BE - HW'!F$4)/($E$4+'TCO TO BE - HW'!$E$4)*SUM(POZICIE_INTERNE!$I$52:$I$63))/POZICIE_INTERNE!$B$52)),0)+IFERROR(IF((AKTIVITY_POZICIE!$B$53-12*('TCO TO BE- SW'!$D159-1))&gt;12,((F$4+'TCO TO BE - HW'!F$4)/($E$4+'TCO TO BE - HW'!$E$4)*SUM(AKTIVITY_POZICIE!$M$53:$M$64))/AKTIVITY_POZICIE!$B$41*12,IF((AKTIVITY_POZICIE!$B$53-12*('TCO TO BE- SW'!$D159-1))&lt;0,0,(AKTIVITY_POZICIE!$B$53-12*('TCO TO BE- SW'!$D159-1))*((F$4+'TCO TO BE - HW'!F$4)/($E$4+'TCO TO BE - HW'!$E$4)*SUM(AKTIVITY_POZICIE!$M$53:$M$64))/AKTIVITY_POZICIE!$B$53)),0)</f>
        <v>0</v>
      </c>
      <c r="G169" s="577">
        <f>IFERROR(IF((POZICIE_INTERNE!$B$52-12*('TCO TO BE- SW'!$D159-1))&gt;12,((G$4+'TCO TO BE - HW'!G$4)/($E$4+'TCO TO BE - HW'!$E$4)*SUM(POZICIE_INTERNE!$I$52:$I$63))/POZICIE_INTERNE!$B$52*12,IF((POZICIE_INTERNE!$B$52-12*('TCO TO BE- SW'!$D159-1))&lt;0,0,(POZICIE_INTERNE!$B$52-12*('TCO TO BE- SW'!$D159-1))*((G$4+'TCO TO BE - HW'!G$4)/($E$4+'TCO TO BE - HW'!$E$4)*SUM(POZICIE_INTERNE!$I$52:$I$63))/POZICIE_INTERNE!$B$52)),0)+IFERROR(IF((AKTIVITY_POZICIE!$B$53-12*('TCO TO BE- SW'!$D159-1))&gt;12,((G$4+'TCO TO BE - HW'!G$4)/($E$4+'TCO TO BE - HW'!$E$4)*SUM(AKTIVITY_POZICIE!$M$53:$M$64))/AKTIVITY_POZICIE!$B$41*12,IF((AKTIVITY_POZICIE!$B$53-12*('TCO TO BE- SW'!$D159-1))&lt;0,0,(AKTIVITY_POZICIE!$B$53-12*('TCO TO BE- SW'!$D159-1))*((G$4+'TCO TO BE - HW'!G$4)/($E$4+'TCO TO BE - HW'!$E$4)*SUM(AKTIVITY_POZICIE!$M$53:$M$64))/AKTIVITY_POZICIE!$B$53)),0)</f>
        <v>0</v>
      </c>
      <c r="H169" s="577">
        <f>IFERROR(IF((POZICIE_INTERNE!$B$52-12*('TCO TO BE- SW'!$D159-1))&gt;12,((H$4+'TCO TO BE - HW'!H$4)/($E$4+'TCO TO BE - HW'!$E$4)*SUM(POZICIE_INTERNE!$I$52:$I$63))/POZICIE_INTERNE!$B$52*12,IF((POZICIE_INTERNE!$B$52-12*('TCO TO BE- SW'!$D159-1))&lt;0,0,(POZICIE_INTERNE!$B$52-12*('TCO TO BE- SW'!$D159-1))*((H$4+'TCO TO BE - HW'!H$4)/($E$4+'TCO TO BE - HW'!$E$4)*SUM(POZICIE_INTERNE!$I$52:$I$63))/POZICIE_INTERNE!$B$52)),0)+IFERROR(IF((AKTIVITY_POZICIE!$B$53-12*('TCO TO BE- SW'!$D159-1))&gt;12,((H$4+'TCO TO BE - HW'!H$4)/($E$4+'TCO TO BE - HW'!$E$4)*SUM(AKTIVITY_POZICIE!$M$53:$M$64))/AKTIVITY_POZICIE!$B$41*12,IF((AKTIVITY_POZICIE!$B$53-12*('TCO TO BE- SW'!$D159-1))&lt;0,0,(AKTIVITY_POZICIE!$B$53-12*('TCO TO BE- SW'!$D159-1))*((H$4+'TCO TO BE - HW'!H$4)/($E$4+'TCO TO BE - HW'!$E$4)*SUM(AKTIVITY_POZICIE!$M$53:$M$64))/AKTIVITY_POZICIE!$B$53)),0)</f>
        <v>0</v>
      </c>
      <c r="I169" s="577">
        <f>IFERROR(IF((POZICIE_INTERNE!$B$52-12*('TCO TO BE- SW'!$D159-1))&gt;12,((I$4+'TCO TO BE - HW'!I$4)/($E$4+'TCO TO BE - HW'!$E$4)*SUM(POZICIE_INTERNE!$I$52:$I$63))/POZICIE_INTERNE!$B$52*12,IF((POZICIE_INTERNE!$B$52-12*('TCO TO BE- SW'!$D159-1))&lt;0,0,(POZICIE_INTERNE!$B$52-12*('TCO TO BE- SW'!$D159-1))*((I$4+'TCO TO BE - HW'!I$4)/($E$4+'TCO TO BE - HW'!$E$4)*SUM(POZICIE_INTERNE!$I$52:$I$63))/POZICIE_INTERNE!$B$52)),0)+IFERROR(IF((AKTIVITY_POZICIE!$B$53-12*('TCO TO BE- SW'!$D159-1))&gt;12,((I$4+'TCO TO BE - HW'!I$4)/($E$4+'TCO TO BE - HW'!$E$4)*SUM(AKTIVITY_POZICIE!$M$53:$M$64))/AKTIVITY_POZICIE!$B$41*12,IF((AKTIVITY_POZICIE!$B$53-12*('TCO TO BE- SW'!$D159-1))&lt;0,0,(AKTIVITY_POZICIE!$B$53-12*('TCO TO BE- SW'!$D159-1))*((I$4+'TCO TO BE - HW'!I$4)/($E$4+'TCO TO BE - HW'!$E$4)*SUM(AKTIVITY_POZICIE!$M$53:$M$64))/AKTIVITY_POZICIE!$B$53)),0)</f>
        <v>0</v>
      </c>
      <c r="J169" s="577">
        <f>IFERROR(IF((POZICIE_INTERNE!$B$52-12*('TCO TO BE- SW'!$D159-1))&gt;12,((J$4+'TCO TO BE - HW'!J$4)/($E$4+'TCO TO BE - HW'!$E$4)*SUM(POZICIE_INTERNE!$I$52:$I$63))/POZICIE_INTERNE!$B$52*12,IF((POZICIE_INTERNE!$B$52-12*('TCO TO BE- SW'!$D159-1))&lt;0,0,(POZICIE_INTERNE!$B$52-12*('TCO TO BE- SW'!$D159-1))*((J$4+'TCO TO BE - HW'!J$4)/($E$4+'TCO TO BE - HW'!$E$4)*SUM(POZICIE_INTERNE!$I$52:$I$63))/POZICIE_INTERNE!$B$52)),0)+IFERROR(IF((AKTIVITY_POZICIE!$B$53-12*('TCO TO BE- SW'!$D159-1))&gt;12,((J$4+'TCO TO BE - HW'!J$4)/($E$4+'TCO TO BE - HW'!$E$4)*SUM(AKTIVITY_POZICIE!$M$53:$M$64))/AKTIVITY_POZICIE!$B$41*12,IF((AKTIVITY_POZICIE!$B$53-12*('TCO TO BE- SW'!$D159-1))&lt;0,0,(AKTIVITY_POZICIE!$B$53-12*('TCO TO BE- SW'!$D159-1))*((J$4+'TCO TO BE - HW'!J$4)/($E$4+'TCO TO BE - HW'!$E$4)*SUM(AKTIVITY_POZICIE!$M$53:$M$64))/AKTIVITY_POZICIE!$B$53)),0)</f>
        <v>0</v>
      </c>
      <c r="K169" s="577">
        <f>IFERROR(IF((POZICIE_INTERNE!$B$52-12*('TCO TO BE- SW'!$D159-1))&gt;12,((K$4+'TCO TO BE - HW'!K$4)/($E$4+'TCO TO BE - HW'!$E$4)*SUM(POZICIE_INTERNE!$I$52:$I$63))/POZICIE_INTERNE!$B$52*12,IF((POZICIE_INTERNE!$B$52-12*('TCO TO BE- SW'!$D159-1))&lt;0,0,(POZICIE_INTERNE!$B$52-12*('TCO TO BE- SW'!$D159-1))*((K$4+'TCO TO BE - HW'!K$4)/($E$4+'TCO TO BE - HW'!$E$4)*SUM(POZICIE_INTERNE!$I$52:$I$63))/POZICIE_INTERNE!$B$52)),0)+IFERROR(IF((AKTIVITY_POZICIE!$B$53-12*('TCO TO BE- SW'!$D159-1))&gt;12,((K$4+'TCO TO BE - HW'!K$4)/($E$4+'TCO TO BE - HW'!$E$4)*SUM(AKTIVITY_POZICIE!$M$53:$M$64))/AKTIVITY_POZICIE!$B$41*12,IF((AKTIVITY_POZICIE!$B$53-12*('TCO TO BE- SW'!$D159-1))&lt;0,0,(AKTIVITY_POZICIE!$B$53-12*('TCO TO BE- SW'!$D159-1))*((K$4+'TCO TO BE - HW'!K$4)/($E$4+'TCO TO BE - HW'!$E$4)*SUM(AKTIVITY_POZICIE!$M$53:$M$64))/AKTIVITY_POZICIE!$B$53)),0)</f>
        <v>0</v>
      </c>
      <c r="L169" s="577">
        <f>IFERROR(IF((POZICIE_INTERNE!$B$52-12*('TCO TO BE- SW'!$D159-1))&gt;12,((L$4+'TCO TO BE - HW'!L$4)/($E$4+'TCO TO BE - HW'!$E$4)*SUM(POZICIE_INTERNE!$I$52:$I$63))/POZICIE_INTERNE!$B$52*12,IF((POZICIE_INTERNE!$B$52-12*('TCO TO BE- SW'!$D159-1))&lt;0,0,(POZICIE_INTERNE!$B$52-12*('TCO TO BE- SW'!$D159-1))*((L$4+'TCO TO BE - HW'!L$4)/($E$4+'TCO TO BE - HW'!$E$4)*SUM(POZICIE_INTERNE!$I$52:$I$63))/POZICIE_INTERNE!$B$52)),0)+IFERROR(IF((AKTIVITY_POZICIE!$B$53-12*('TCO TO BE- SW'!$D159-1))&gt;12,((L$4+'TCO TO BE - HW'!L$4)/($E$4+'TCO TO BE - HW'!$E$4)*SUM(AKTIVITY_POZICIE!$M$53:$M$64))/AKTIVITY_POZICIE!$B$41*12,IF((AKTIVITY_POZICIE!$B$53-12*('TCO TO BE- SW'!$D159-1))&lt;0,0,(AKTIVITY_POZICIE!$B$53-12*('TCO TO BE- SW'!$D159-1))*((L$4+'TCO TO BE - HW'!L$4)/($E$4+'TCO TO BE - HW'!$E$4)*SUM(AKTIVITY_POZICIE!$M$53:$M$64))/AKTIVITY_POZICIE!$B$53)),0)</f>
        <v>0</v>
      </c>
      <c r="M169" s="577">
        <f>IFERROR(IF((POZICIE_INTERNE!$B$52-12*('TCO TO BE- SW'!$D159-1))&gt;12,((M$4+'TCO TO BE - HW'!M$4)/($E$4+'TCO TO BE - HW'!$E$4)*SUM(POZICIE_INTERNE!$I$52:$I$63))/POZICIE_INTERNE!$B$52*12,IF((POZICIE_INTERNE!$B$52-12*('TCO TO BE- SW'!$D159-1))&lt;0,0,(POZICIE_INTERNE!$B$52-12*('TCO TO BE- SW'!$D159-1))*((M$4+'TCO TO BE - HW'!M$4)/($E$4+'TCO TO BE - HW'!$E$4)*SUM(POZICIE_INTERNE!$I$52:$I$63))/POZICIE_INTERNE!$B$52)),0)+IFERROR(IF((AKTIVITY_POZICIE!$B$53-12*('TCO TO BE- SW'!$D159-1))&gt;12,((M$4+'TCO TO BE - HW'!M$4)/($E$4+'TCO TO BE - HW'!$E$4)*SUM(AKTIVITY_POZICIE!$M$53:$M$64))/AKTIVITY_POZICIE!$B$41*12,IF((AKTIVITY_POZICIE!$B$53-12*('TCO TO BE- SW'!$D159-1))&lt;0,0,(AKTIVITY_POZICIE!$B$53-12*('TCO TO BE- SW'!$D159-1))*((M$4+'TCO TO BE - HW'!M$4)/($E$4+'TCO TO BE - HW'!$E$4)*SUM(AKTIVITY_POZICIE!$M$53:$M$64))/AKTIVITY_POZICIE!$B$53)),0)</f>
        <v>0</v>
      </c>
      <c r="N169" s="577">
        <f>IFERROR(IF((POZICIE_INTERNE!$B$52-12*('TCO TO BE- SW'!$D159-1))&gt;12,((N$4+'TCO TO BE - HW'!N$4)/($E$4+'TCO TO BE - HW'!$E$4)*SUM(POZICIE_INTERNE!$I$52:$I$63))/POZICIE_INTERNE!$B$52*12,IF((POZICIE_INTERNE!$B$52-12*('TCO TO BE- SW'!$D159-1))&lt;0,0,(POZICIE_INTERNE!$B$52-12*('TCO TO BE- SW'!$D159-1))*((N$4+'TCO TO BE - HW'!N$4)/($E$4+'TCO TO BE - HW'!$E$4)*SUM(POZICIE_INTERNE!$I$52:$I$63))/POZICIE_INTERNE!$B$52)),0)+IFERROR(IF((AKTIVITY_POZICIE!$B$53-12*('TCO TO BE- SW'!$D159-1))&gt;12,((N$4+'TCO TO BE - HW'!N$4)/($E$4+'TCO TO BE - HW'!$E$4)*SUM(AKTIVITY_POZICIE!$M$53:$M$64))/AKTIVITY_POZICIE!$B$41*12,IF((AKTIVITY_POZICIE!$B$53-12*('TCO TO BE- SW'!$D159-1))&lt;0,0,(AKTIVITY_POZICIE!$B$53-12*('TCO TO BE- SW'!$D159-1))*((N$4+'TCO TO BE - HW'!N$4)/($E$4+'TCO TO BE - HW'!$E$4)*SUM(AKTIVITY_POZICIE!$M$53:$M$64))/AKTIVITY_POZICIE!$B$53)),0)</f>
        <v>0</v>
      </c>
      <c r="O169" s="577">
        <f>IFERROR(IF((POZICIE_INTERNE!$B$52-12*('TCO TO BE- SW'!$D159-1))&gt;12,((O$4+'TCO TO BE - HW'!O$4)/($E$4+'TCO TO BE - HW'!$E$4)*SUM(POZICIE_INTERNE!$I$52:$I$63))/POZICIE_INTERNE!$B$52*12,IF((POZICIE_INTERNE!$B$52-12*('TCO TO BE- SW'!$D159-1))&lt;0,0,(POZICIE_INTERNE!$B$52-12*('TCO TO BE- SW'!$D159-1))*((O$4+'TCO TO BE - HW'!O$4)/($E$4+'TCO TO BE - HW'!$E$4)*SUM(POZICIE_INTERNE!$I$52:$I$63))/POZICIE_INTERNE!$B$52)),0)+IFERROR(IF((AKTIVITY_POZICIE!$B$53-12*('TCO TO BE- SW'!$D159-1))&gt;12,((O$4+'TCO TO BE - HW'!O$4)/($E$4+'TCO TO BE - HW'!$E$4)*SUM(AKTIVITY_POZICIE!$M$53:$M$64))/AKTIVITY_POZICIE!$B$41*12,IF((AKTIVITY_POZICIE!$B$53-12*('TCO TO BE- SW'!$D159-1))&lt;0,0,(AKTIVITY_POZICIE!$B$53-12*('TCO TO BE- SW'!$D159-1))*((O$4+'TCO TO BE - HW'!O$4)/($E$4+'TCO TO BE - HW'!$E$4)*SUM(AKTIVITY_POZICIE!$M$53:$M$64))/AKTIVITY_POZICIE!$B$53)),0)</f>
        <v>0</v>
      </c>
      <c r="P169" s="577">
        <f>IFERROR(IF((POZICIE_INTERNE!$B$52-12*('TCO TO BE- SW'!$D159-1))&gt;12,((P$4+'TCO TO BE - HW'!P$4)/($E$4+'TCO TO BE - HW'!$E$4)*SUM(POZICIE_INTERNE!$I$52:$I$63))/POZICIE_INTERNE!$B$52*12,IF((POZICIE_INTERNE!$B$52-12*('TCO TO BE- SW'!$D159-1))&lt;0,0,(POZICIE_INTERNE!$B$52-12*('TCO TO BE- SW'!$D159-1))*((P$4+'TCO TO BE - HW'!P$4)/($E$4+'TCO TO BE - HW'!$E$4)*SUM(POZICIE_INTERNE!$I$52:$I$63))/POZICIE_INTERNE!$B$52)),0)+IFERROR(IF((AKTIVITY_POZICIE!$B$53-12*('TCO TO BE- SW'!$D159-1))&gt;12,((P$4+'TCO TO BE - HW'!P$4)/($E$4+'TCO TO BE - HW'!$E$4)*SUM(AKTIVITY_POZICIE!$M$53:$M$64))/AKTIVITY_POZICIE!$B$41*12,IF((AKTIVITY_POZICIE!$B$53-12*('TCO TO BE- SW'!$D159-1))&lt;0,0,(AKTIVITY_POZICIE!$B$53-12*('TCO TO BE- SW'!$D159-1))*((P$4+'TCO TO BE - HW'!P$4)/($E$4+'TCO TO BE - HW'!$E$4)*SUM(AKTIVITY_POZICIE!$M$53:$M$64))/AKTIVITY_POZICIE!$B$53)),0)</f>
        <v>0</v>
      </c>
      <c r="Q169" s="577">
        <f>IFERROR(IF((POZICIE_INTERNE!$B$52-12*('TCO TO BE- SW'!$D159-1))&gt;12,((Q$4+'TCO TO BE - HW'!Q$4)/($E$4+'TCO TO BE - HW'!$E$4)*SUM(POZICIE_INTERNE!$I$52:$I$63))/POZICIE_INTERNE!$B$52*12,IF((POZICIE_INTERNE!$B$52-12*('TCO TO BE- SW'!$D159-1))&lt;0,0,(POZICIE_INTERNE!$B$52-12*('TCO TO BE- SW'!$D159-1))*((Q$4+'TCO TO BE - HW'!Q$4)/($E$4+'TCO TO BE - HW'!$E$4)*SUM(POZICIE_INTERNE!$I$52:$I$63))/POZICIE_INTERNE!$B$52)),0)+IFERROR(IF((AKTIVITY_POZICIE!$B$53-12*('TCO TO BE- SW'!$D159-1))&gt;12,((Q$4+'TCO TO BE - HW'!Q$4)/($E$4+'TCO TO BE - HW'!$E$4)*SUM(AKTIVITY_POZICIE!$M$53:$M$64))/AKTIVITY_POZICIE!$B$41*12,IF((AKTIVITY_POZICIE!$B$53-12*('TCO TO BE- SW'!$D159-1))&lt;0,0,(AKTIVITY_POZICIE!$B$53-12*('TCO TO BE- SW'!$D159-1))*((Q$4+'TCO TO BE - HW'!Q$4)/($E$4+'TCO TO BE - HW'!$E$4)*SUM(AKTIVITY_POZICIE!$M$53:$M$64))/AKTIVITY_POZICIE!$B$53)),0)</f>
        <v>0</v>
      </c>
      <c r="R169" s="577">
        <f>IFERROR(IF((POZICIE_INTERNE!$B$52-12*('TCO TO BE- SW'!$D159-1))&gt;12,((R$4+'TCO TO BE - HW'!R$4)/($E$4+'TCO TO BE - HW'!$E$4)*SUM(POZICIE_INTERNE!$I$52:$I$63))/POZICIE_INTERNE!$B$52*12,IF((POZICIE_INTERNE!$B$52-12*('TCO TO BE- SW'!$D159-1))&lt;0,0,(POZICIE_INTERNE!$B$52-12*('TCO TO BE- SW'!$D159-1))*((R$4+'TCO TO BE - HW'!R$4)/($E$4+'TCO TO BE - HW'!$E$4)*SUM(POZICIE_INTERNE!$I$52:$I$63))/POZICIE_INTERNE!$B$52)),0)+IFERROR(IF((AKTIVITY_POZICIE!$B$53-12*('TCO TO BE- SW'!$D159-1))&gt;12,((R$4+'TCO TO BE - HW'!R$4)/($E$4+'TCO TO BE - HW'!$E$4)*SUM(AKTIVITY_POZICIE!$M$53:$M$64))/AKTIVITY_POZICIE!$B$41*12,IF((AKTIVITY_POZICIE!$B$53-12*('TCO TO BE- SW'!$D159-1))&lt;0,0,(AKTIVITY_POZICIE!$B$53-12*('TCO TO BE- SW'!$D159-1))*((R$4+'TCO TO BE - HW'!R$4)/($E$4+'TCO TO BE - HW'!$E$4)*SUM(AKTIVITY_POZICIE!$M$53:$M$64))/AKTIVITY_POZICIE!$B$53)),0)</f>
        <v>0</v>
      </c>
      <c r="S169" s="577">
        <f>IFERROR(IF((POZICIE_INTERNE!$B$52-12*('TCO TO BE- SW'!$D159-1))&gt;12,((S$4+'TCO TO BE - HW'!S$4)/($E$4+'TCO TO BE - HW'!$E$4)*SUM(POZICIE_INTERNE!$I$52:$I$63))/POZICIE_INTERNE!$B$52*12,IF((POZICIE_INTERNE!$B$52-12*('TCO TO BE- SW'!$D159-1))&lt;0,0,(POZICIE_INTERNE!$B$52-12*('TCO TO BE- SW'!$D159-1))*((S$4+'TCO TO BE - HW'!S$4)/($E$4+'TCO TO BE - HW'!$E$4)*SUM(POZICIE_INTERNE!$I$52:$I$63))/POZICIE_INTERNE!$B$52)),0)+IFERROR(IF((AKTIVITY_POZICIE!$B$53-12*('TCO TO BE- SW'!$D159-1))&gt;12,((S$4+'TCO TO BE - HW'!S$4)/($E$4+'TCO TO BE - HW'!$E$4)*SUM(AKTIVITY_POZICIE!$M$53:$M$64))/AKTIVITY_POZICIE!$B$41*12,IF((AKTIVITY_POZICIE!$B$53-12*('TCO TO BE- SW'!$D159-1))&lt;0,0,(AKTIVITY_POZICIE!$B$53-12*('TCO TO BE- SW'!$D159-1))*((S$4+'TCO TO BE - HW'!S$4)/($E$4+'TCO TO BE - HW'!$E$4)*SUM(AKTIVITY_POZICIE!$M$53:$M$64))/AKTIVITY_POZICIE!$B$53)),0)</f>
        <v>0</v>
      </c>
      <c r="T169" s="577">
        <f>IFERROR(IF((POZICIE_INTERNE!$B$52-12*('TCO TO BE- SW'!$D159-1))&gt;12,((T$4+'TCO TO BE - HW'!T$4)/($E$4+'TCO TO BE - HW'!$E$4)*SUM(POZICIE_INTERNE!$I$52:$I$63))/POZICIE_INTERNE!$B$52*12,IF((POZICIE_INTERNE!$B$52-12*('TCO TO BE- SW'!$D159-1))&lt;0,0,(POZICIE_INTERNE!$B$52-12*('TCO TO BE- SW'!$D159-1))*((T$4+'TCO TO BE - HW'!T$4)/($E$4+'TCO TO BE - HW'!$E$4)*SUM(POZICIE_INTERNE!$I$52:$I$63))/POZICIE_INTERNE!$B$52)),0)+IFERROR(IF((AKTIVITY_POZICIE!$B$53-12*('TCO TO BE- SW'!$D159-1))&gt;12,((T$4+'TCO TO BE - HW'!T$4)/($E$4+'TCO TO BE - HW'!$E$4)*SUM(AKTIVITY_POZICIE!$M$53:$M$64))/AKTIVITY_POZICIE!$B$41*12,IF((AKTIVITY_POZICIE!$B$53-12*('TCO TO BE- SW'!$D159-1))&lt;0,0,(AKTIVITY_POZICIE!$B$53-12*('TCO TO BE- SW'!$D159-1))*((T$4+'TCO TO BE - HW'!T$4)/($E$4+'TCO TO BE - HW'!$E$4)*SUM(AKTIVITY_POZICIE!$M$53:$M$64))/AKTIVITY_POZICIE!$B$53)),0)</f>
        <v>0</v>
      </c>
      <c r="U169" s="577">
        <f>IFERROR(IF((POZICIE_INTERNE!$B$52-12*('TCO TO BE- SW'!$D159-1))&gt;12,((U$4+'TCO TO BE - HW'!U$4)/($E$4+'TCO TO BE - HW'!$E$4)*SUM(POZICIE_INTERNE!$I$52:$I$63))/POZICIE_INTERNE!$B$52*12,IF((POZICIE_INTERNE!$B$52-12*('TCO TO BE- SW'!$D159-1))&lt;0,0,(POZICIE_INTERNE!$B$52-12*('TCO TO BE- SW'!$D159-1))*((U$4+'TCO TO BE - HW'!U$4)/($E$4+'TCO TO BE - HW'!$E$4)*SUM(POZICIE_INTERNE!$I$52:$I$63))/POZICIE_INTERNE!$B$52)),0)+IFERROR(IF((AKTIVITY_POZICIE!$B$53-12*('TCO TO BE- SW'!$D159-1))&gt;12,((U$4+'TCO TO BE - HW'!U$4)/($E$4+'TCO TO BE - HW'!$E$4)*SUM(AKTIVITY_POZICIE!$M$53:$M$64))/AKTIVITY_POZICIE!$B$41*12,IF((AKTIVITY_POZICIE!$B$53-12*('TCO TO BE- SW'!$D159-1))&lt;0,0,(AKTIVITY_POZICIE!$B$53-12*('TCO TO BE- SW'!$D159-1))*((U$4+'TCO TO BE - HW'!U$4)/($E$4+'TCO TO BE - HW'!$E$4)*SUM(AKTIVITY_POZICIE!$M$53:$M$64))/AKTIVITY_POZICIE!$B$53)),0)</f>
        <v>0</v>
      </c>
      <c r="V169" s="577">
        <f>IFERROR(IF((POZICIE_INTERNE!$B$52-12*('TCO TO BE- SW'!$D159-1))&gt;12,((V$4+'TCO TO BE - HW'!V$4)/($E$4+'TCO TO BE - HW'!$E$4)*SUM(POZICIE_INTERNE!$I$52:$I$63))/POZICIE_INTERNE!$B$52*12,IF((POZICIE_INTERNE!$B$52-12*('TCO TO BE- SW'!$D159-1))&lt;0,0,(POZICIE_INTERNE!$B$52-12*('TCO TO BE- SW'!$D159-1))*((V$4+'TCO TO BE - HW'!V$4)/($E$4+'TCO TO BE - HW'!$E$4)*SUM(POZICIE_INTERNE!$I$52:$I$63))/POZICIE_INTERNE!$B$52)),0)+IFERROR(IF((AKTIVITY_POZICIE!$B$53-12*('TCO TO BE- SW'!$D159-1))&gt;12,((V$4+'TCO TO BE - HW'!V$4)/($E$4+'TCO TO BE - HW'!$E$4)*SUM(AKTIVITY_POZICIE!$M$53:$M$64))/AKTIVITY_POZICIE!$B$41*12,IF((AKTIVITY_POZICIE!$B$53-12*('TCO TO BE- SW'!$D159-1))&lt;0,0,(AKTIVITY_POZICIE!$B$53-12*('TCO TO BE- SW'!$D159-1))*((V$4+'TCO TO BE - HW'!V$4)/($E$4+'TCO TO BE - HW'!$E$4)*SUM(AKTIVITY_POZICIE!$M$53:$M$64))/AKTIVITY_POZICIE!$B$53)),0)</f>
        <v>0</v>
      </c>
      <c r="W169" s="577">
        <f>IFERROR(IF((POZICIE_INTERNE!$B$52-12*('TCO TO BE- SW'!$D159-1))&gt;12,((W$4+'TCO TO BE - HW'!W$4)/($E$4+'TCO TO BE - HW'!$E$4)*SUM(POZICIE_INTERNE!$I$52:$I$63))/POZICIE_INTERNE!$B$52*12,IF((POZICIE_INTERNE!$B$52-12*('TCO TO BE- SW'!$D159-1))&lt;0,0,(POZICIE_INTERNE!$B$52-12*('TCO TO BE- SW'!$D159-1))*((W$4+'TCO TO BE - HW'!W$4)/($E$4+'TCO TO BE - HW'!$E$4)*SUM(POZICIE_INTERNE!$I$52:$I$63))/POZICIE_INTERNE!$B$52)),0)+IFERROR(IF((AKTIVITY_POZICIE!$B$53-12*('TCO TO BE- SW'!$D159-1))&gt;12,((W$4+'TCO TO BE - HW'!W$4)/($E$4+'TCO TO BE - HW'!$E$4)*SUM(AKTIVITY_POZICIE!$M$53:$M$64))/AKTIVITY_POZICIE!$B$41*12,IF((AKTIVITY_POZICIE!$B$53-12*('TCO TO BE- SW'!$D159-1))&lt;0,0,(AKTIVITY_POZICIE!$B$53-12*('TCO TO BE- SW'!$D159-1))*((W$4+'TCO TO BE - HW'!W$4)/($E$4+'TCO TO BE - HW'!$E$4)*SUM(AKTIVITY_POZICIE!$M$53:$M$64))/AKTIVITY_POZICIE!$B$53)),0)</f>
        <v>0</v>
      </c>
      <c r="X169" s="577">
        <f>IFERROR(IF((POZICIE_INTERNE!$B$52-12*('TCO TO BE- SW'!$D159-1))&gt;12,((X$4+'TCO TO BE - HW'!X$4)/($E$4+'TCO TO BE - HW'!$E$4)*SUM(POZICIE_INTERNE!$I$52:$I$63))/POZICIE_INTERNE!$B$52*12,IF((POZICIE_INTERNE!$B$52-12*('TCO TO BE- SW'!$D159-1))&lt;0,0,(POZICIE_INTERNE!$B$52-12*('TCO TO BE- SW'!$D159-1))*((X$4+'TCO TO BE - HW'!X$4)/($E$4+'TCO TO BE - HW'!$E$4)*SUM(POZICIE_INTERNE!$I$52:$I$63))/POZICIE_INTERNE!$B$52)),0)+IFERROR(IF((AKTIVITY_POZICIE!$B$53-12*('TCO TO BE- SW'!$D159-1))&gt;12,((X$4+'TCO TO BE - HW'!X$4)/($E$4+'TCO TO BE - HW'!$E$4)*SUM(AKTIVITY_POZICIE!$M$53:$M$64))/AKTIVITY_POZICIE!$B$41*12,IF((AKTIVITY_POZICIE!$B$53-12*('TCO TO BE- SW'!$D159-1))&lt;0,0,(AKTIVITY_POZICIE!$B$53-12*('TCO TO BE- SW'!$D159-1))*((X$4+'TCO TO BE - HW'!X$4)/($E$4+'TCO TO BE - HW'!$E$4)*SUM(AKTIVITY_POZICIE!$M$53:$M$64))/AKTIVITY_POZICIE!$B$53)),0)</f>
        <v>0</v>
      </c>
      <c r="Y169" s="577">
        <f>IFERROR(IF((POZICIE_INTERNE!$B$52-12*('TCO TO BE- SW'!$D159-1))&gt;12,((Y$4+'TCO TO BE - HW'!Y$4)/($E$4+'TCO TO BE - HW'!$E$4)*SUM(POZICIE_INTERNE!$I$52:$I$63))/POZICIE_INTERNE!$B$52*12,IF((POZICIE_INTERNE!$B$52-12*('TCO TO BE- SW'!$D159-1))&lt;0,0,(POZICIE_INTERNE!$B$52-12*('TCO TO BE- SW'!$D159-1))*((Y$4+'TCO TO BE - HW'!Y$4)/($E$4+'TCO TO BE - HW'!$E$4)*SUM(POZICIE_INTERNE!$I$52:$I$63))/POZICIE_INTERNE!$B$52)),0)+IFERROR(IF((AKTIVITY_POZICIE!$B$53-12*('TCO TO BE- SW'!$D159-1))&gt;12,((Y$4+'TCO TO BE - HW'!Y$4)/($E$4+'TCO TO BE - HW'!$E$4)*SUM(AKTIVITY_POZICIE!$M$53:$M$64))/AKTIVITY_POZICIE!$B$41*12,IF((AKTIVITY_POZICIE!$B$53-12*('TCO TO BE- SW'!$D159-1))&lt;0,0,(AKTIVITY_POZICIE!$B$53-12*('TCO TO BE- SW'!$D159-1))*((Y$4+'TCO TO BE - HW'!Y$4)/($E$4+'TCO TO BE - HW'!$E$4)*SUM(AKTIVITY_POZICIE!$M$53:$M$64))/AKTIVITY_POZICIE!$B$53)),0)</f>
        <v>0</v>
      </c>
      <c r="Z169" s="577">
        <f>IFERROR(IF((POZICIE_INTERNE!$B$52-12*('TCO TO BE- SW'!$D159-1))&gt;12,((Z$4+'TCO TO BE - HW'!Z$4)/($E$4+'TCO TO BE - HW'!$E$4)*SUM(POZICIE_INTERNE!$I$52:$I$63))/POZICIE_INTERNE!$B$52*12,IF((POZICIE_INTERNE!$B$52-12*('TCO TO BE- SW'!$D159-1))&lt;0,0,(POZICIE_INTERNE!$B$52-12*('TCO TO BE- SW'!$D159-1))*((Z$4+'TCO TO BE - HW'!Z$4)/($E$4+'TCO TO BE - HW'!$E$4)*SUM(POZICIE_INTERNE!$I$52:$I$63))/POZICIE_INTERNE!$B$52)),0)+IFERROR(IF((AKTIVITY_POZICIE!$B$53-12*('TCO TO BE- SW'!$D159-1))&gt;12,((Z$4+'TCO TO BE - HW'!Z$4)/($E$4+'TCO TO BE - HW'!$E$4)*SUM(AKTIVITY_POZICIE!$M$53:$M$64))/AKTIVITY_POZICIE!$B$41*12,IF((AKTIVITY_POZICIE!$B$53-12*('TCO TO BE- SW'!$D159-1))&lt;0,0,(AKTIVITY_POZICIE!$B$53-12*('TCO TO BE- SW'!$D159-1))*((Z$4+'TCO TO BE - HW'!Z$4)/($E$4+'TCO TO BE - HW'!$E$4)*SUM(AKTIVITY_POZICIE!$M$53:$M$64))/AKTIVITY_POZICIE!$B$53)),0)</f>
        <v>0</v>
      </c>
    </row>
    <row r="170" spans="1:26" ht="15.75" thickBot="1">
      <c r="A170" s="824"/>
      <c r="B170" s="825"/>
      <c r="C170" s="825"/>
      <c r="D170" s="65">
        <v>10</v>
      </c>
      <c r="E170" s="69">
        <f t="shared" si="16"/>
        <v>0</v>
      </c>
      <c r="F170" s="578">
        <f>IFERROR(IF((POZICIE_INTERNE!$B$52-12*('TCO TO BE- SW'!$D160-1))&gt;12,((F$4+'TCO TO BE - HW'!F$4)/($E$4+'TCO TO BE - HW'!$E$4)*SUM(POZICIE_INTERNE!$I$52:$I$63))/POZICIE_INTERNE!$B$52*12,IF((POZICIE_INTERNE!$B$52-12*('TCO TO BE- SW'!$D160-1))&lt;0,0,(POZICIE_INTERNE!$B$52-12*('TCO TO BE- SW'!$D160-1))*((F$4+'TCO TO BE - HW'!F$4)/($E$4+'TCO TO BE - HW'!$E$4)*SUM(POZICIE_INTERNE!$I$52:$I$63))/POZICIE_INTERNE!$B$52)),0)+IFERROR(IF((AKTIVITY_POZICIE!$B$53-12*('TCO TO BE- SW'!$D160-1))&gt;12,((F$4+'TCO TO BE - HW'!F$4)/($E$4+'TCO TO BE - HW'!$E$4)*SUM(AKTIVITY_POZICIE!$M$53:$M$64))/AKTIVITY_POZICIE!$B$41*12,IF((AKTIVITY_POZICIE!$B$53-12*('TCO TO BE- SW'!$D160-1))&lt;0,0,(AKTIVITY_POZICIE!$B$53-12*('TCO TO BE- SW'!$D160-1))*((F$4+'TCO TO BE - HW'!F$4)/($E$4+'TCO TO BE - HW'!$E$4)*SUM(AKTIVITY_POZICIE!$M$53:$M$64))/AKTIVITY_POZICIE!$B$53)),0)</f>
        <v>0</v>
      </c>
      <c r="G170" s="578">
        <f>IFERROR(IF((POZICIE_INTERNE!$B$52-12*('TCO TO BE- SW'!$D160-1))&gt;12,((G$4+'TCO TO BE - HW'!G$4)/($E$4+'TCO TO BE - HW'!$E$4)*SUM(POZICIE_INTERNE!$I$52:$I$63))/POZICIE_INTERNE!$B$52*12,IF((POZICIE_INTERNE!$B$52-12*('TCO TO BE- SW'!$D160-1))&lt;0,0,(POZICIE_INTERNE!$B$52-12*('TCO TO BE- SW'!$D160-1))*((G$4+'TCO TO BE - HW'!G$4)/($E$4+'TCO TO BE - HW'!$E$4)*SUM(POZICIE_INTERNE!$I$52:$I$63))/POZICIE_INTERNE!$B$52)),0)+IFERROR(IF((AKTIVITY_POZICIE!$B$53-12*('TCO TO BE- SW'!$D160-1))&gt;12,((G$4+'TCO TO BE - HW'!G$4)/($E$4+'TCO TO BE - HW'!$E$4)*SUM(AKTIVITY_POZICIE!$M$53:$M$64))/AKTIVITY_POZICIE!$B$41*12,IF((AKTIVITY_POZICIE!$B$53-12*('TCO TO BE- SW'!$D160-1))&lt;0,0,(AKTIVITY_POZICIE!$B$53-12*('TCO TO BE- SW'!$D160-1))*((G$4+'TCO TO BE - HW'!G$4)/($E$4+'TCO TO BE - HW'!$E$4)*SUM(AKTIVITY_POZICIE!$M$53:$M$64))/AKTIVITY_POZICIE!$B$53)),0)</f>
        <v>0</v>
      </c>
      <c r="H170" s="578">
        <f>IFERROR(IF((POZICIE_INTERNE!$B$52-12*('TCO TO BE- SW'!$D160-1))&gt;12,((H$4+'TCO TO BE - HW'!H$4)/($E$4+'TCO TO BE - HW'!$E$4)*SUM(POZICIE_INTERNE!$I$52:$I$63))/POZICIE_INTERNE!$B$52*12,IF((POZICIE_INTERNE!$B$52-12*('TCO TO BE- SW'!$D160-1))&lt;0,0,(POZICIE_INTERNE!$B$52-12*('TCO TO BE- SW'!$D160-1))*((H$4+'TCO TO BE - HW'!H$4)/($E$4+'TCO TO BE - HW'!$E$4)*SUM(POZICIE_INTERNE!$I$52:$I$63))/POZICIE_INTERNE!$B$52)),0)+IFERROR(IF((AKTIVITY_POZICIE!$B$53-12*('TCO TO BE- SW'!$D160-1))&gt;12,((H$4+'TCO TO BE - HW'!H$4)/($E$4+'TCO TO BE - HW'!$E$4)*SUM(AKTIVITY_POZICIE!$M$53:$M$64))/AKTIVITY_POZICIE!$B$41*12,IF((AKTIVITY_POZICIE!$B$53-12*('TCO TO BE- SW'!$D160-1))&lt;0,0,(AKTIVITY_POZICIE!$B$53-12*('TCO TO BE- SW'!$D160-1))*((H$4+'TCO TO BE - HW'!H$4)/($E$4+'TCO TO BE - HW'!$E$4)*SUM(AKTIVITY_POZICIE!$M$53:$M$64))/AKTIVITY_POZICIE!$B$53)),0)</f>
        <v>0</v>
      </c>
      <c r="I170" s="578">
        <f>IFERROR(IF((POZICIE_INTERNE!$B$52-12*('TCO TO BE- SW'!$D160-1))&gt;12,((I$4+'TCO TO BE - HW'!I$4)/($E$4+'TCO TO BE - HW'!$E$4)*SUM(POZICIE_INTERNE!$I$52:$I$63))/POZICIE_INTERNE!$B$52*12,IF((POZICIE_INTERNE!$B$52-12*('TCO TO BE- SW'!$D160-1))&lt;0,0,(POZICIE_INTERNE!$B$52-12*('TCO TO BE- SW'!$D160-1))*((I$4+'TCO TO BE - HW'!I$4)/($E$4+'TCO TO BE - HW'!$E$4)*SUM(POZICIE_INTERNE!$I$52:$I$63))/POZICIE_INTERNE!$B$52)),0)+IFERROR(IF((AKTIVITY_POZICIE!$B$53-12*('TCO TO BE- SW'!$D160-1))&gt;12,((I$4+'TCO TO BE - HW'!I$4)/($E$4+'TCO TO BE - HW'!$E$4)*SUM(AKTIVITY_POZICIE!$M$53:$M$64))/AKTIVITY_POZICIE!$B$41*12,IF((AKTIVITY_POZICIE!$B$53-12*('TCO TO BE- SW'!$D160-1))&lt;0,0,(AKTIVITY_POZICIE!$B$53-12*('TCO TO BE- SW'!$D160-1))*((I$4+'TCO TO BE - HW'!I$4)/($E$4+'TCO TO BE - HW'!$E$4)*SUM(AKTIVITY_POZICIE!$M$53:$M$64))/AKTIVITY_POZICIE!$B$53)),0)</f>
        <v>0</v>
      </c>
      <c r="J170" s="578">
        <f>IFERROR(IF((POZICIE_INTERNE!$B$52-12*('TCO TO BE- SW'!$D160-1))&gt;12,((J$4+'TCO TO BE - HW'!J$4)/($E$4+'TCO TO BE - HW'!$E$4)*SUM(POZICIE_INTERNE!$I$52:$I$63))/POZICIE_INTERNE!$B$52*12,IF((POZICIE_INTERNE!$B$52-12*('TCO TO BE- SW'!$D160-1))&lt;0,0,(POZICIE_INTERNE!$B$52-12*('TCO TO BE- SW'!$D160-1))*((J$4+'TCO TO BE - HW'!J$4)/($E$4+'TCO TO BE - HW'!$E$4)*SUM(POZICIE_INTERNE!$I$52:$I$63))/POZICIE_INTERNE!$B$52)),0)+IFERROR(IF((AKTIVITY_POZICIE!$B$53-12*('TCO TO BE- SW'!$D160-1))&gt;12,((J$4+'TCO TO BE - HW'!J$4)/($E$4+'TCO TO BE - HW'!$E$4)*SUM(AKTIVITY_POZICIE!$M$53:$M$64))/AKTIVITY_POZICIE!$B$41*12,IF((AKTIVITY_POZICIE!$B$53-12*('TCO TO BE- SW'!$D160-1))&lt;0,0,(AKTIVITY_POZICIE!$B$53-12*('TCO TO BE- SW'!$D160-1))*((J$4+'TCO TO BE - HW'!J$4)/($E$4+'TCO TO BE - HW'!$E$4)*SUM(AKTIVITY_POZICIE!$M$53:$M$64))/AKTIVITY_POZICIE!$B$53)),0)</f>
        <v>0</v>
      </c>
      <c r="K170" s="578">
        <f>IFERROR(IF((POZICIE_INTERNE!$B$52-12*('TCO TO BE- SW'!$D160-1))&gt;12,((K$4+'TCO TO BE - HW'!K$4)/($E$4+'TCO TO BE - HW'!$E$4)*SUM(POZICIE_INTERNE!$I$52:$I$63))/POZICIE_INTERNE!$B$52*12,IF((POZICIE_INTERNE!$B$52-12*('TCO TO BE- SW'!$D160-1))&lt;0,0,(POZICIE_INTERNE!$B$52-12*('TCO TO BE- SW'!$D160-1))*((K$4+'TCO TO BE - HW'!K$4)/($E$4+'TCO TO BE - HW'!$E$4)*SUM(POZICIE_INTERNE!$I$52:$I$63))/POZICIE_INTERNE!$B$52)),0)+IFERROR(IF((AKTIVITY_POZICIE!$B$53-12*('TCO TO BE- SW'!$D160-1))&gt;12,((K$4+'TCO TO BE - HW'!K$4)/($E$4+'TCO TO BE - HW'!$E$4)*SUM(AKTIVITY_POZICIE!$M$53:$M$64))/AKTIVITY_POZICIE!$B$41*12,IF((AKTIVITY_POZICIE!$B$53-12*('TCO TO BE- SW'!$D160-1))&lt;0,0,(AKTIVITY_POZICIE!$B$53-12*('TCO TO BE- SW'!$D160-1))*((K$4+'TCO TO BE - HW'!K$4)/($E$4+'TCO TO BE - HW'!$E$4)*SUM(AKTIVITY_POZICIE!$M$53:$M$64))/AKTIVITY_POZICIE!$B$53)),0)</f>
        <v>0</v>
      </c>
      <c r="L170" s="578">
        <f>IFERROR(IF((POZICIE_INTERNE!$B$52-12*('TCO TO BE- SW'!$D160-1))&gt;12,((L$4+'TCO TO BE - HW'!L$4)/($E$4+'TCO TO BE - HW'!$E$4)*SUM(POZICIE_INTERNE!$I$52:$I$63))/POZICIE_INTERNE!$B$52*12,IF((POZICIE_INTERNE!$B$52-12*('TCO TO BE- SW'!$D160-1))&lt;0,0,(POZICIE_INTERNE!$B$52-12*('TCO TO BE- SW'!$D160-1))*((L$4+'TCO TO BE - HW'!L$4)/($E$4+'TCO TO BE - HW'!$E$4)*SUM(POZICIE_INTERNE!$I$52:$I$63))/POZICIE_INTERNE!$B$52)),0)+IFERROR(IF((AKTIVITY_POZICIE!$B$53-12*('TCO TO BE- SW'!$D160-1))&gt;12,((L$4+'TCO TO BE - HW'!L$4)/($E$4+'TCO TO BE - HW'!$E$4)*SUM(AKTIVITY_POZICIE!$M$53:$M$64))/AKTIVITY_POZICIE!$B$41*12,IF((AKTIVITY_POZICIE!$B$53-12*('TCO TO BE- SW'!$D160-1))&lt;0,0,(AKTIVITY_POZICIE!$B$53-12*('TCO TO BE- SW'!$D160-1))*((L$4+'TCO TO BE - HW'!L$4)/($E$4+'TCO TO BE - HW'!$E$4)*SUM(AKTIVITY_POZICIE!$M$53:$M$64))/AKTIVITY_POZICIE!$B$53)),0)</f>
        <v>0</v>
      </c>
      <c r="M170" s="578">
        <f>IFERROR(IF((POZICIE_INTERNE!$B$52-12*('TCO TO BE- SW'!$D160-1))&gt;12,((M$4+'TCO TO BE - HW'!M$4)/($E$4+'TCO TO BE - HW'!$E$4)*SUM(POZICIE_INTERNE!$I$52:$I$63))/POZICIE_INTERNE!$B$52*12,IF((POZICIE_INTERNE!$B$52-12*('TCO TO BE- SW'!$D160-1))&lt;0,0,(POZICIE_INTERNE!$B$52-12*('TCO TO BE- SW'!$D160-1))*((M$4+'TCO TO BE - HW'!M$4)/($E$4+'TCO TO BE - HW'!$E$4)*SUM(POZICIE_INTERNE!$I$52:$I$63))/POZICIE_INTERNE!$B$52)),0)+IFERROR(IF((AKTIVITY_POZICIE!$B$53-12*('TCO TO BE- SW'!$D160-1))&gt;12,((M$4+'TCO TO BE - HW'!M$4)/($E$4+'TCO TO BE - HW'!$E$4)*SUM(AKTIVITY_POZICIE!$M$53:$M$64))/AKTIVITY_POZICIE!$B$41*12,IF((AKTIVITY_POZICIE!$B$53-12*('TCO TO BE- SW'!$D160-1))&lt;0,0,(AKTIVITY_POZICIE!$B$53-12*('TCO TO BE- SW'!$D160-1))*((M$4+'TCO TO BE - HW'!M$4)/($E$4+'TCO TO BE - HW'!$E$4)*SUM(AKTIVITY_POZICIE!$M$53:$M$64))/AKTIVITY_POZICIE!$B$53)),0)</f>
        <v>0</v>
      </c>
      <c r="N170" s="578">
        <f>IFERROR(IF((POZICIE_INTERNE!$B$52-12*('TCO TO BE- SW'!$D160-1))&gt;12,((N$4+'TCO TO BE - HW'!N$4)/($E$4+'TCO TO BE - HW'!$E$4)*SUM(POZICIE_INTERNE!$I$52:$I$63))/POZICIE_INTERNE!$B$52*12,IF((POZICIE_INTERNE!$B$52-12*('TCO TO BE- SW'!$D160-1))&lt;0,0,(POZICIE_INTERNE!$B$52-12*('TCO TO BE- SW'!$D160-1))*((N$4+'TCO TO BE - HW'!N$4)/($E$4+'TCO TO BE - HW'!$E$4)*SUM(POZICIE_INTERNE!$I$52:$I$63))/POZICIE_INTERNE!$B$52)),0)+IFERROR(IF((AKTIVITY_POZICIE!$B$53-12*('TCO TO BE- SW'!$D160-1))&gt;12,((N$4+'TCO TO BE - HW'!N$4)/($E$4+'TCO TO BE - HW'!$E$4)*SUM(AKTIVITY_POZICIE!$M$53:$M$64))/AKTIVITY_POZICIE!$B$41*12,IF((AKTIVITY_POZICIE!$B$53-12*('TCO TO BE- SW'!$D160-1))&lt;0,0,(AKTIVITY_POZICIE!$B$53-12*('TCO TO BE- SW'!$D160-1))*((N$4+'TCO TO BE - HW'!N$4)/($E$4+'TCO TO BE - HW'!$E$4)*SUM(AKTIVITY_POZICIE!$M$53:$M$64))/AKTIVITY_POZICIE!$B$53)),0)</f>
        <v>0</v>
      </c>
      <c r="O170" s="578">
        <f>IFERROR(IF((POZICIE_INTERNE!$B$52-12*('TCO TO BE- SW'!$D160-1))&gt;12,((O$4+'TCO TO BE - HW'!O$4)/($E$4+'TCO TO BE - HW'!$E$4)*SUM(POZICIE_INTERNE!$I$52:$I$63))/POZICIE_INTERNE!$B$52*12,IF((POZICIE_INTERNE!$B$52-12*('TCO TO BE- SW'!$D160-1))&lt;0,0,(POZICIE_INTERNE!$B$52-12*('TCO TO BE- SW'!$D160-1))*((O$4+'TCO TO BE - HW'!O$4)/($E$4+'TCO TO BE - HW'!$E$4)*SUM(POZICIE_INTERNE!$I$52:$I$63))/POZICIE_INTERNE!$B$52)),0)+IFERROR(IF((AKTIVITY_POZICIE!$B$53-12*('TCO TO BE- SW'!$D160-1))&gt;12,((O$4+'TCO TO BE - HW'!O$4)/($E$4+'TCO TO BE - HW'!$E$4)*SUM(AKTIVITY_POZICIE!$M$53:$M$64))/AKTIVITY_POZICIE!$B$41*12,IF((AKTIVITY_POZICIE!$B$53-12*('TCO TO BE- SW'!$D160-1))&lt;0,0,(AKTIVITY_POZICIE!$B$53-12*('TCO TO BE- SW'!$D160-1))*((O$4+'TCO TO BE - HW'!O$4)/($E$4+'TCO TO BE - HW'!$E$4)*SUM(AKTIVITY_POZICIE!$M$53:$M$64))/AKTIVITY_POZICIE!$B$53)),0)</f>
        <v>0</v>
      </c>
      <c r="P170" s="578">
        <f>IFERROR(IF((POZICIE_INTERNE!$B$52-12*('TCO TO BE- SW'!$D160-1))&gt;12,((P$4+'TCO TO BE - HW'!P$4)/($E$4+'TCO TO BE - HW'!$E$4)*SUM(POZICIE_INTERNE!$I$52:$I$63))/POZICIE_INTERNE!$B$52*12,IF((POZICIE_INTERNE!$B$52-12*('TCO TO BE- SW'!$D160-1))&lt;0,0,(POZICIE_INTERNE!$B$52-12*('TCO TO BE- SW'!$D160-1))*((P$4+'TCO TO BE - HW'!P$4)/($E$4+'TCO TO BE - HW'!$E$4)*SUM(POZICIE_INTERNE!$I$52:$I$63))/POZICIE_INTERNE!$B$52)),0)+IFERROR(IF((AKTIVITY_POZICIE!$B$53-12*('TCO TO BE- SW'!$D160-1))&gt;12,((P$4+'TCO TO BE - HW'!P$4)/($E$4+'TCO TO BE - HW'!$E$4)*SUM(AKTIVITY_POZICIE!$M$53:$M$64))/AKTIVITY_POZICIE!$B$41*12,IF((AKTIVITY_POZICIE!$B$53-12*('TCO TO BE- SW'!$D160-1))&lt;0,0,(AKTIVITY_POZICIE!$B$53-12*('TCO TO BE- SW'!$D160-1))*((P$4+'TCO TO BE - HW'!P$4)/($E$4+'TCO TO BE - HW'!$E$4)*SUM(AKTIVITY_POZICIE!$M$53:$M$64))/AKTIVITY_POZICIE!$B$53)),0)</f>
        <v>0</v>
      </c>
      <c r="Q170" s="578">
        <f>IFERROR(IF((POZICIE_INTERNE!$B$52-12*('TCO TO BE- SW'!$D160-1))&gt;12,((Q$4+'TCO TO BE - HW'!Q$4)/($E$4+'TCO TO BE - HW'!$E$4)*SUM(POZICIE_INTERNE!$I$52:$I$63))/POZICIE_INTERNE!$B$52*12,IF((POZICIE_INTERNE!$B$52-12*('TCO TO BE- SW'!$D160-1))&lt;0,0,(POZICIE_INTERNE!$B$52-12*('TCO TO BE- SW'!$D160-1))*((Q$4+'TCO TO BE - HW'!Q$4)/($E$4+'TCO TO BE - HW'!$E$4)*SUM(POZICIE_INTERNE!$I$52:$I$63))/POZICIE_INTERNE!$B$52)),0)+IFERROR(IF((AKTIVITY_POZICIE!$B$53-12*('TCO TO BE- SW'!$D160-1))&gt;12,((Q$4+'TCO TO BE - HW'!Q$4)/($E$4+'TCO TO BE - HW'!$E$4)*SUM(AKTIVITY_POZICIE!$M$53:$M$64))/AKTIVITY_POZICIE!$B$41*12,IF((AKTIVITY_POZICIE!$B$53-12*('TCO TO BE- SW'!$D160-1))&lt;0,0,(AKTIVITY_POZICIE!$B$53-12*('TCO TO BE- SW'!$D160-1))*((Q$4+'TCO TO BE - HW'!Q$4)/($E$4+'TCO TO BE - HW'!$E$4)*SUM(AKTIVITY_POZICIE!$M$53:$M$64))/AKTIVITY_POZICIE!$B$53)),0)</f>
        <v>0</v>
      </c>
      <c r="R170" s="578">
        <f>IFERROR(IF((POZICIE_INTERNE!$B$52-12*('TCO TO BE- SW'!$D160-1))&gt;12,((R$4+'TCO TO BE - HW'!R$4)/($E$4+'TCO TO BE - HW'!$E$4)*SUM(POZICIE_INTERNE!$I$52:$I$63))/POZICIE_INTERNE!$B$52*12,IF((POZICIE_INTERNE!$B$52-12*('TCO TO BE- SW'!$D160-1))&lt;0,0,(POZICIE_INTERNE!$B$52-12*('TCO TO BE- SW'!$D160-1))*((R$4+'TCO TO BE - HW'!R$4)/($E$4+'TCO TO BE - HW'!$E$4)*SUM(POZICIE_INTERNE!$I$52:$I$63))/POZICIE_INTERNE!$B$52)),0)+IFERROR(IF((AKTIVITY_POZICIE!$B$53-12*('TCO TO BE- SW'!$D160-1))&gt;12,((R$4+'TCO TO BE - HW'!R$4)/($E$4+'TCO TO BE - HW'!$E$4)*SUM(AKTIVITY_POZICIE!$M$53:$M$64))/AKTIVITY_POZICIE!$B$41*12,IF((AKTIVITY_POZICIE!$B$53-12*('TCO TO BE- SW'!$D160-1))&lt;0,0,(AKTIVITY_POZICIE!$B$53-12*('TCO TO BE- SW'!$D160-1))*((R$4+'TCO TO BE - HW'!R$4)/($E$4+'TCO TO BE - HW'!$E$4)*SUM(AKTIVITY_POZICIE!$M$53:$M$64))/AKTIVITY_POZICIE!$B$53)),0)</f>
        <v>0</v>
      </c>
      <c r="S170" s="578">
        <f>IFERROR(IF((POZICIE_INTERNE!$B$52-12*('TCO TO BE- SW'!$D160-1))&gt;12,((S$4+'TCO TO BE - HW'!S$4)/($E$4+'TCO TO BE - HW'!$E$4)*SUM(POZICIE_INTERNE!$I$52:$I$63))/POZICIE_INTERNE!$B$52*12,IF((POZICIE_INTERNE!$B$52-12*('TCO TO BE- SW'!$D160-1))&lt;0,0,(POZICIE_INTERNE!$B$52-12*('TCO TO BE- SW'!$D160-1))*((S$4+'TCO TO BE - HW'!S$4)/($E$4+'TCO TO BE - HW'!$E$4)*SUM(POZICIE_INTERNE!$I$52:$I$63))/POZICIE_INTERNE!$B$52)),0)+IFERROR(IF((AKTIVITY_POZICIE!$B$53-12*('TCO TO BE- SW'!$D160-1))&gt;12,((S$4+'TCO TO BE - HW'!S$4)/($E$4+'TCO TO BE - HW'!$E$4)*SUM(AKTIVITY_POZICIE!$M$53:$M$64))/AKTIVITY_POZICIE!$B$41*12,IF((AKTIVITY_POZICIE!$B$53-12*('TCO TO BE- SW'!$D160-1))&lt;0,0,(AKTIVITY_POZICIE!$B$53-12*('TCO TO BE- SW'!$D160-1))*((S$4+'TCO TO BE - HW'!S$4)/($E$4+'TCO TO BE - HW'!$E$4)*SUM(AKTIVITY_POZICIE!$M$53:$M$64))/AKTIVITY_POZICIE!$B$53)),0)</f>
        <v>0</v>
      </c>
      <c r="T170" s="578">
        <f>IFERROR(IF((POZICIE_INTERNE!$B$52-12*('TCO TO BE- SW'!$D160-1))&gt;12,((T$4+'TCO TO BE - HW'!T$4)/($E$4+'TCO TO BE - HW'!$E$4)*SUM(POZICIE_INTERNE!$I$52:$I$63))/POZICIE_INTERNE!$B$52*12,IF((POZICIE_INTERNE!$B$52-12*('TCO TO BE- SW'!$D160-1))&lt;0,0,(POZICIE_INTERNE!$B$52-12*('TCO TO BE- SW'!$D160-1))*((T$4+'TCO TO BE - HW'!T$4)/($E$4+'TCO TO BE - HW'!$E$4)*SUM(POZICIE_INTERNE!$I$52:$I$63))/POZICIE_INTERNE!$B$52)),0)+IFERROR(IF((AKTIVITY_POZICIE!$B$53-12*('TCO TO BE- SW'!$D160-1))&gt;12,((T$4+'TCO TO BE - HW'!T$4)/($E$4+'TCO TO BE - HW'!$E$4)*SUM(AKTIVITY_POZICIE!$M$53:$M$64))/AKTIVITY_POZICIE!$B$41*12,IF((AKTIVITY_POZICIE!$B$53-12*('TCO TO BE- SW'!$D160-1))&lt;0,0,(AKTIVITY_POZICIE!$B$53-12*('TCO TO BE- SW'!$D160-1))*((T$4+'TCO TO BE - HW'!T$4)/($E$4+'TCO TO BE - HW'!$E$4)*SUM(AKTIVITY_POZICIE!$M$53:$M$64))/AKTIVITY_POZICIE!$B$53)),0)</f>
        <v>0</v>
      </c>
      <c r="U170" s="578">
        <f>IFERROR(IF((POZICIE_INTERNE!$B$52-12*('TCO TO BE- SW'!$D160-1))&gt;12,((U$4+'TCO TO BE - HW'!U$4)/($E$4+'TCO TO BE - HW'!$E$4)*SUM(POZICIE_INTERNE!$I$52:$I$63))/POZICIE_INTERNE!$B$52*12,IF((POZICIE_INTERNE!$B$52-12*('TCO TO BE- SW'!$D160-1))&lt;0,0,(POZICIE_INTERNE!$B$52-12*('TCO TO BE- SW'!$D160-1))*((U$4+'TCO TO BE - HW'!U$4)/($E$4+'TCO TO BE - HW'!$E$4)*SUM(POZICIE_INTERNE!$I$52:$I$63))/POZICIE_INTERNE!$B$52)),0)+IFERROR(IF((AKTIVITY_POZICIE!$B$53-12*('TCO TO BE- SW'!$D160-1))&gt;12,((U$4+'TCO TO BE - HW'!U$4)/($E$4+'TCO TO BE - HW'!$E$4)*SUM(AKTIVITY_POZICIE!$M$53:$M$64))/AKTIVITY_POZICIE!$B$41*12,IF((AKTIVITY_POZICIE!$B$53-12*('TCO TO BE- SW'!$D160-1))&lt;0,0,(AKTIVITY_POZICIE!$B$53-12*('TCO TO BE- SW'!$D160-1))*((U$4+'TCO TO BE - HW'!U$4)/($E$4+'TCO TO BE - HW'!$E$4)*SUM(AKTIVITY_POZICIE!$M$53:$M$64))/AKTIVITY_POZICIE!$B$53)),0)</f>
        <v>0</v>
      </c>
      <c r="V170" s="578">
        <f>IFERROR(IF((POZICIE_INTERNE!$B$52-12*('TCO TO BE- SW'!$D160-1))&gt;12,((V$4+'TCO TO BE - HW'!V$4)/($E$4+'TCO TO BE - HW'!$E$4)*SUM(POZICIE_INTERNE!$I$52:$I$63))/POZICIE_INTERNE!$B$52*12,IF((POZICIE_INTERNE!$B$52-12*('TCO TO BE- SW'!$D160-1))&lt;0,0,(POZICIE_INTERNE!$B$52-12*('TCO TO BE- SW'!$D160-1))*((V$4+'TCO TO BE - HW'!V$4)/($E$4+'TCO TO BE - HW'!$E$4)*SUM(POZICIE_INTERNE!$I$52:$I$63))/POZICIE_INTERNE!$B$52)),0)+IFERROR(IF((AKTIVITY_POZICIE!$B$53-12*('TCO TO BE- SW'!$D160-1))&gt;12,((V$4+'TCO TO BE - HW'!V$4)/($E$4+'TCO TO BE - HW'!$E$4)*SUM(AKTIVITY_POZICIE!$M$53:$M$64))/AKTIVITY_POZICIE!$B$41*12,IF((AKTIVITY_POZICIE!$B$53-12*('TCO TO BE- SW'!$D160-1))&lt;0,0,(AKTIVITY_POZICIE!$B$53-12*('TCO TO BE- SW'!$D160-1))*((V$4+'TCO TO BE - HW'!V$4)/($E$4+'TCO TO BE - HW'!$E$4)*SUM(AKTIVITY_POZICIE!$M$53:$M$64))/AKTIVITY_POZICIE!$B$53)),0)</f>
        <v>0</v>
      </c>
      <c r="W170" s="578">
        <f>IFERROR(IF((POZICIE_INTERNE!$B$52-12*('TCO TO BE- SW'!$D160-1))&gt;12,((W$4+'TCO TO BE - HW'!W$4)/($E$4+'TCO TO BE - HW'!$E$4)*SUM(POZICIE_INTERNE!$I$52:$I$63))/POZICIE_INTERNE!$B$52*12,IF((POZICIE_INTERNE!$B$52-12*('TCO TO BE- SW'!$D160-1))&lt;0,0,(POZICIE_INTERNE!$B$52-12*('TCO TO BE- SW'!$D160-1))*((W$4+'TCO TO BE - HW'!W$4)/($E$4+'TCO TO BE - HW'!$E$4)*SUM(POZICIE_INTERNE!$I$52:$I$63))/POZICIE_INTERNE!$B$52)),0)+IFERROR(IF((AKTIVITY_POZICIE!$B$53-12*('TCO TO BE- SW'!$D160-1))&gt;12,((W$4+'TCO TO BE - HW'!W$4)/($E$4+'TCO TO BE - HW'!$E$4)*SUM(AKTIVITY_POZICIE!$M$53:$M$64))/AKTIVITY_POZICIE!$B$41*12,IF((AKTIVITY_POZICIE!$B$53-12*('TCO TO BE- SW'!$D160-1))&lt;0,0,(AKTIVITY_POZICIE!$B$53-12*('TCO TO BE- SW'!$D160-1))*((W$4+'TCO TO BE - HW'!W$4)/($E$4+'TCO TO BE - HW'!$E$4)*SUM(AKTIVITY_POZICIE!$M$53:$M$64))/AKTIVITY_POZICIE!$B$53)),0)</f>
        <v>0</v>
      </c>
      <c r="X170" s="578">
        <f>IFERROR(IF((POZICIE_INTERNE!$B$52-12*('TCO TO BE- SW'!$D160-1))&gt;12,((X$4+'TCO TO BE - HW'!X$4)/($E$4+'TCO TO BE - HW'!$E$4)*SUM(POZICIE_INTERNE!$I$52:$I$63))/POZICIE_INTERNE!$B$52*12,IF((POZICIE_INTERNE!$B$52-12*('TCO TO BE- SW'!$D160-1))&lt;0,0,(POZICIE_INTERNE!$B$52-12*('TCO TO BE- SW'!$D160-1))*((X$4+'TCO TO BE - HW'!X$4)/($E$4+'TCO TO BE - HW'!$E$4)*SUM(POZICIE_INTERNE!$I$52:$I$63))/POZICIE_INTERNE!$B$52)),0)+IFERROR(IF((AKTIVITY_POZICIE!$B$53-12*('TCO TO BE- SW'!$D160-1))&gt;12,((X$4+'TCO TO BE - HW'!X$4)/($E$4+'TCO TO BE - HW'!$E$4)*SUM(AKTIVITY_POZICIE!$M$53:$M$64))/AKTIVITY_POZICIE!$B$41*12,IF((AKTIVITY_POZICIE!$B$53-12*('TCO TO BE- SW'!$D160-1))&lt;0,0,(AKTIVITY_POZICIE!$B$53-12*('TCO TO BE- SW'!$D160-1))*((X$4+'TCO TO BE - HW'!X$4)/($E$4+'TCO TO BE - HW'!$E$4)*SUM(AKTIVITY_POZICIE!$M$53:$M$64))/AKTIVITY_POZICIE!$B$53)),0)</f>
        <v>0</v>
      </c>
      <c r="Y170" s="578">
        <f>IFERROR(IF((POZICIE_INTERNE!$B$52-12*('TCO TO BE- SW'!$D160-1))&gt;12,((Y$4+'TCO TO BE - HW'!Y$4)/($E$4+'TCO TO BE - HW'!$E$4)*SUM(POZICIE_INTERNE!$I$52:$I$63))/POZICIE_INTERNE!$B$52*12,IF((POZICIE_INTERNE!$B$52-12*('TCO TO BE- SW'!$D160-1))&lt;0,0,(POZICIE_INTERNE!$B$52-12*('TCO TO BE- SW'!$D160-1))*((Y$4+'TCO TO BE - HW'!Y$4)/($E$4+'TCO TO BE - HW'!$E$4)*SUM(POZICIE_INTERNE!$I$52:$I$63))/POZICIE_INTERNE!$B$52)),0)+IFERROR(IF((AKTIVITY_POZICIE!$B$53-12*('TCO TO BE- SW'!$D160-1))&gt;12,((Y$4+'TCO TO BE - HW'!Y$4)/($E$4+'TCO TO BE - HW'!$E$4)*SUM(AKTIVITY_POZICIE!$M$53:$M$64))/AKTIVITY_POZICIE!$B$41*12,IF((AKTIVITY_POZICIE!$B$53-12*('TCO TO BE- SW'!$D160-1))&lt;0,0,(AKTIVITY_POZICIE!$B$53-12*('TCO TO BE- SW'!$D160-1))*((Y$4+'TCO TO BE - HW'!Y$4)/($E$4+'TCO TO BE - HW'!$E$4)*SUM(AKTIVITY_POZICIE!$M$53:$M$64))/AKTIVITY_POZICIE!$B$53)),0)</f>
        <v>0</v>
      </c>
      <c r="Z170" s="578">
        <f>IFERROR(IF((POZICIE_INTERNE!$B$52-12*('TCO TO BE- SW'!$D160-1))&gt;12,((Z$4+'TCO TO BE - HW'!Z$4)/($E$4+'TCO TO BE - HW'!$E$4)*SUM(POZICIE_INTERNE!$I$52:$I$63))/POZICIE_INTERNE!$B$52*12,IF((POZICIE_INTERNE!$B$52-12*('TCO TO BE- SW'!$D160-1))&lt;0,0,(POZICIE_INTERNE!$B$52-12*('TCO TO BE- SW'!$D160-1))*((Z$4+'TCO TO BE - HW'!Z$4)/($E$4+'TCO TO BE - HW'!$E$4)*SUM(POZICIE_INTERNE!$I$52:$I$63))/POZICIE_INTERNE!$B$52)),0)+IFERROR(IF((AKTIVITY_POZICIE!$B$53-12*('TCO TO BE- SW'!$D160-1))&gt;12,((Z$4+'TCO TO BE - HW'!Z$4)/($E$4+'TCO TO BE - HW'!$E$4)*SUM(AKTIVITY_POZICIE!$M$53:$M$64))/AKTIVITY_POZICIE!$B$41*12,IF((AKTIVITY_POZICIE!$B$53-12*('TCO TO BE- SW'!$D160-1))&lt;0,0,(AKTIVITY_POZICIE!$B$53-12*('TCO TO BE- SW'!$D160-1))*((Z$4+'TCO TO BE - HW'!Z$4)/($E$4+'TCO TO BE - HW'!$E$4)*SUM(AKTIVITY_POZICIE!$M$53:$M$64))/AKTIVITY_POZICIE!$B$53)),0)</f>
        <v>0</v>
      </c>
    </row>
    <row r="171" spans="1:26" ht="15.75" thickBot="1">
      <c r="A171" s="831" t="s">
        <v>246</v>
      </c>
      <c r="B171" s="832"/>
      <c r="C171" s="832"/>
      <c r="D171" s="75"/>
      <c r="E171" s="72">
        <f t="shared" ref="E171:Z171" si="17">SUM(E172:E191)</f>
        <v>0</v>
      </c>
      <c r="F171" s="73">
        <f t="shared" si="17"/>
        <v>0</v>
      </c>
      <c r="G171" s="73">
        <f t="shared" si="17"/>
        <v>0</v>
      </c>
      <c r="H171" s="73">
        <f t="shared" si="17"/>
        <v>0</v>
      </c>
      <c r="I171" s="73">
        <f t="shared" si="17"/>
        <v>0</v>
      </c>
      <c r="J171" s="73">
        <f t="shared" si="17"/>
        <v>0</v>
      </c>
      <c r="K171" s="73">
        <f t="shared" si="17"/>
        <v>0</v>
      </c>
      <c r="L171" s="73">
        <f t="shared" si="17"/>
        <v>0</v>
      </c>
      <c r="M171" s="73">
        <f t="shared" si="17"/>
        <v>0</v>
      </c>
      <c r="N171" s="73">
        <f t="shared" si="17"/>
        <v>0</v>
      </c>
      <c r="O171" s="73">
        <f t="shared" si="17"/>
        <v>0</v>
      </c>
      <c r="P171" s="73">
        <f t="shared" si="17"/>
        <v>0</v>
      </c>
      <c r="Q171" s="73">
        <f t="shared" si="17"/>
        <v>0</v>
      </c>
      <c r="R171" s="73">
        <f t="shared" si="17"/>
        <v>0</v>
      </c>
      <c r="S171" s="73">
        <f t="shared" si="17"/>
        <v>0</v>
      </c>
      <c r="T171" s="73">
        <f t="shared" si="17"/>
        <v>0</v>
      </c>
      <c r="U171" s="73">
        <f t="shared" si="17"/>
        <v>0</v>
      </c>
      <c r="V171" s="73">
        <f t="shared" si="17"/>
        <v>0</v>
      </c>
      <c r="W171" s="73">
        <f t="shared" si="17"/>
        <v>0</v>
      </c>
      <c r="X171" s="73">
        <f t="shared" si="17"/>
        <v>0</v>
      </c>
      <c r="Y171" s="73">
        <f t="shared" si="17"/>
        <v>0</v>
      </c>
      <c r="Z171" s="73">
        <f t="shared" si="17"/>
        <v>0</v>
      </c>
    </row>
    <row r="172" spans="1:26">
      <c r="A172" s="824" t="s">
        <v>247</v>
      </c>
      <c r="B172" s="825" t="s">
        <v>76</v>
      </c>
      <c r="C172" s="825">
        <v>633013</v>
      </c>
      <c r="D172" s="63">
        <v>1</v>
      </c>
      <c r="E172" s="60">
        <f t="shared" ref="E172:E191" si="18">SUM(F172:Z172)</f>
        <v>0</v>
      </c>
      <c r="F172" s="581">
        <v>0</v>
      </c>
      <c r="G172" s="581">
        <v>0</v>
      </c>
      <c r="H172" s="581">
        <v>0</v>
      </c>
      <c r="I172" s="581">
        <v>0</v>
      </c>
      <c r="J172" s="581">
        <v>0</v>
      </c>
      <c r="K172" s="581">
        <v>0</v>
      </c>
      <c r="L172" s="581">
        <v>0</v>
      </c>
      <c r="M172" s="581">
        <v>0</v>
      </c>
      <c r="N172" s="581">
        <v>0</v>
      </c>
      <c r="O172" s="581">
        <v>0</v>
      </c>
      <c r="P172" s="581">
        <v>0</v>
      </c>
      <c r="Q172" s="581">
        <v>0</v>
      </c>
      <c r="R172" s="581">
        <v>0</v>
      </c>
      <c r="S172" s="581">
        <v>0</v>
      </c>
      <c r="T172" s="581">
        <v>0</v>
      </c>
      <c r="U172" s="581">
        <v>0</v>
      </c>
      <c r="V172" s="581">
        <v>0</v>
      </c>
      <c r="W172" s="581">
        <v>0</v>
      </c>
      <c r="X172" s="581">
        <v>0</v>
      </c>
      <c r="Y172" s="581">
        <v>0</v>
      </c>
      <c r="Z172" s="581">
        <v>0</v>
      </c>
    </row>
    <row r="173" spans="1:26">
      <c r="A173" s="824"/>
      <c r="B173" s="825"/>
      <c r="C173" s="825"/>
      <c r="D173" s="64">
        <v>2</v>
      </c>
      <c r="E173" s="61">
        <f t="shared" si="18"/>
        <v>0</v>
      </c>
      <c r="F173" s="582">
        <v>0</v>
      </c>
      <c r="G173" s="582">
        <v>0</v>
      </c>
      <c r="H173" s="582">
        <v>0</v>
      </c>
      <c r="I173" s="582">
        <v>0</v>
      </c>
      <c r="J173" s="582">
        <v>0</v>
      </c>
      <c r="K173" s="582">
        <v>0</v>
      </c>
      <c r="L173" s="582">
        <v>0</v>
      </c>
      <c r="M173" s="582">
        <v>0</v>
      </c>
      <c r="N173" s="582">
        <v>0</v>
      </c>
      <c r="O173" s="582">
        <v>0</v>
      </c>
      <c r="P173" s="582">
        <v>0</v>
      </c>
      <c r="Q173" s="582">
        <v>0</v>
      </c>
      <c r="R173" s="582">
        <v>0</v>
      </c>
      <c r="S173" s="582">
        <v>0</v>
      </c>
      <c r="T173" s="582">
        <v>0</v>
      </c>
      <c r="U173" s="582">
        <v>0</v>
      </c>
      <c r="V173" s="582">
        <v>0</v>
      </c>
      <c r="W173" s="582">
        <v>0</v>
      </c>
      <c r="X173" s="582">
        <v>0</v>
      </c>
      <c r="Y173" s="582">
        <v>0</v>
      </c>
      <c r="Z173" s="582">
        <v>0</v>
      </c>
    </row>
    <row r="174" spans="1:26">
      <c r="A174" s="824"/>
      <c r="B174" s="825"/>
      <c r="C174" s="825"/>
      <c r="D174" s="64">
        <v>3</v>
      </c>
      <c r="E174" s="61">
        <f t="shared" si="18"/>
        <v>0</v>
      </c>
      <c r="F174" s="582">
        <v>0</v>
      </c>
      <c r="G174" s="582">
        <v>0</v>
      </c>
      <c r="H174" s="582">
        <v>0</v>
      </c>
      <c r="I174" s="582">
        <v>0</v>
      </c>
      <c r="J174" s="582">
        <v>0</v>
      </c>
      <c r="K174" s="582">
        <v>0</v>
      </c>
      <c r="L174" s="582">
        <v>0</v>
      </c>
      <c r="M174" s="582">
        <v>0</v>
      </c>
      <c r="N174" s="582">
        <v>0</v>
      </c>
      <c r="O174" s="582">
        <v>0</v>
      </c>
      <c r="P174" s="582">
        <v>0</v>
      </c>
      <c r="Q174" s="582">
        <v>0</v>
      </c>
      <c r="R174" s="582">
        <v>0</v>
      </c>
      <c r="S174" s="582">
        <v>0</v>
      </c>
      <c r="T174" s="582">
        <v>0</v>
      </c>
      <c r="U174" s="582">
        <v>0</v>
      </c>
      <c r="V174" s="582">
        <v>0</v>
      </c>
      <c r="W174" s="582">
        <v>0</v>
      </c>
      <c r="X174" s="582">
        <v>0</v>
      </c>
      <c r="Y174" s="582">
        <v>0</v>
      </c>
      <c r="Z174" s="582">
        <v>0</v>
      </c>
    </row>
    <row r="175" spans="1:26">
      <c r="A175" s="824"/>
      <c r="B175" s="825"/>
      <c r="C175" s="825"/>
      <c r="D175" s="64">
        <v>4</v>
      </c>
      <c r="E175" s="61">
        <f t="shared" si="18"/>
        <v>0</v>
      </c>
      <c r="F175" s="582">
        <v>0</v>
      </c>
      <c r="G175" s="582">
        <v>0</v>
      </c>
      <c r="H175" s="582">
        <v>0</v>
      </c>
      <c r="I175" s="582">
        <v>0</v>
      </c>
      <c r="J175" s="582">
        <v>0</v>
      </c>
      <c r="K175" s="582">
        <v>0</v>
      </c>
      <c r="L175" s="582">
        <v>0</v>
      </c>
      <c r="M175" s="582">
        <v>0</v>
      </c>
      <c r="N175" s="582">
        <v>0</v>
      </c>
      <c r="O175" s="582">
        <v>0</v>
      </c>
      <c r="P175" s="582">
        <v>0</v>
      </c>
      <c r="Q175" s="582">
        <v>0</v>
      </c>
      <c r="R175" s="582">
        <v>0</v>
      </c>
      <c r="S175" s="582">
        <v>0</v>
      </c>
      <c r="T175" s="582">
        <v>0</v>
      </c>
      <c r="U175" s="582">
        <v>0</v>
      </c>
      <c r="V175" s="582">
        <v>0</v>
      </c>
      <c r="W175" s="582">
        <v>0</v>
      </c>
      <c r="X175" s="582">
        <v>0</v>
      </c>
      <c r="Y175" s="582">
        <v>0</v>
      </c>
      <c r="Z175" s="582">
        <v>0</v>
      </c>
    </row>
    <row r="176" spans="1:26">
      <c r="A176" s="824"/>
      <c r="B176" s="825"/>
      <c r="C176" s="825"/>
      <c r="D176" s="64">
        <v>5</v>
      </c>
      <c r="E176" s="61">
        <f t="shared" si="18"/>
        <v>0</v>
      </c>
      <c r="F176" s="582">
        <v>0</v>
      </c>
      <c r="G176" s="582">
        <v>0</v>
      </c>
      <c r="H176" s="582">
        <v>0</v>
      </c>
      <c r="I176" s="582">
        <v>0</v>
      </c>
      <c r="J176" s="582">
        <v>0</v>
      </c>
      <c r="K176" s="582">
        <v>0</v>
      </c>
      <c r="L176" s="582">
        <v>0</v>
      </c>
      <c r="M176" s="582">
        <v>0</v>
      </c>
      <c r="N176" s="582">
        <v>0</v>
      </c>
      <c r="O176" s="582">
        <v>0</v>
      </c>
      <c r="P176" s="582">
        <v>0</v>
      </c>
      <c r="Q176" s="582">
        <v>0</v>
      </c>
      <c r="R176" s="582">
        <v>0</v>
      </c>
      <c r="S176" s="582">
        <v>0</v>
      </c>
      <c r="T176" s="582">
        <v>0</v>
      </c>
      <c r="U176" s="582">
        <v>0</v>
      </c>
      <c r="V176" s="582">
        <v>0</v>
      </c>
      <c r="W176" s="582">
        <v>0</v>
      </c>
      <c r="X176" s="582">
        <v>0</v>
      </c>
      <c r="Y176" s="582">
        <v>0</v>
      </c>
      <c r="Z176" s="582">
        <v>0</v>
      </c>
    </row>
    <row r="177" spans="1:26">
      <c r="A177" s="824"/>
      <c r="B177" s="825"/>
      <c r="C177" s="825"/>
      <c r="D177" s="64">
        <v>6</v>
      </c>
      <c r="E177" s="61">
        <f t="shared" si="18"/>
        <v>0</v>
      </c>
      <c r="F177" s="582">
        <v>0</v>
      </c>
      <c r="G177" s="582">
        <v>0</v>
      </c>
      <c r="H177" s="582">
        <v>0</v>
      </c>
      <c r="I177" s="582">
        <v>0</v>
      </c>
      <c r="J177" s="582">
        <v>0</v>
      </c>
      <c r="K177" s="582">
        <v>0</v>
      </c>
      <c r="L177" s="582">
        <v>0</v>
      </c>
      <c r="M177" s="582">
        <v>0</v>
      </c>
      <c r="N177" s="582">
        <v>0</v>
      </c>
      <c r="O177" s="582">
        <v>0</v>
      </c>
      <c r="P177" s="582">
        <v>0</v>
      </c>
      <c r="Q177" s="582">
        <v>0</v>
      </c>
      <c r="R177" s="582">
        <v>0</v>
      </c>
      <c r="S177" s="582">
        <v>0</v>
      </c>
      <c r="T177" s="582">
        <v>0</v>
      </c>
      <c r="U177" s="582">
        <v>0</v>
      </c>
      <c r="V177" s="582">
        <v>0</v>
      </c>
      <c r="W177" s="582">
        <v>0</v>
      </c>
      <c r="X177" s="582">
        <v>0</v>
      </c>
      <c r="Y177" s="582">
        <v>0</v>
      </c>
      <c r="Z177" s="582">
        <v>0</v>
      </c>
    </row>
    <row r="178" spans="1:26">
      <c r="A178" s="824"/>
      <c r="B178" s="825"/>
      <c r="C178" s="825"/>
      <c r="D178" s="64">
        <v>7</v>
      </c>
      <c r="E178" s="61">
        <f t="shared" si="18"/>
        <v>0</v>
      </c>
      <c r="F178" s="582">
        <v>0</v>
      </c>
      <c r="G178" s="582">
        <v>0</v>
      </c>
      <c r="H178" s="582">
        <v>0</v>
      </c>
      <c r="I178" s="582">
        <v>0</v>
      </c>
      <c r="J178" s="582">
        <v>0</v>
      </c>
      <c r="K178" s="582">
        <v>0</v>
      </c>
      <c r="L178" s="582">
        <v>0</v>
      </c>
      <c r="M178" s="582">
        <v>0</v>
      </c>
      <c r="N178" s="582">
        <v>0</v>
      </c>
      <c r="O178" s="582">
        <v>0</v>
      </c>
      <c r="P178" s="582">
        <v>0</v>
      </c>
      <c r="Q178" s="582">
        <v>0</v>
      </c>
      <c r="R178" s="582">
        <v>0</v>
      </c>
      <c r="S178" s="582">
        <v>0</v>
      </c>
      <c r="T178" s="582">
        <v>0</v>
      </c>
      <c r="U178" s="582">
        <v>0</v>
      </c>
      <c r="V178" s="582">
        <v>0</v>
      </c>
      <c r="W178" s="582">
        <v>0</v>
      </c>
      <c r="X178" s="582">
        <v>0</v>
      </c>
      <c r="Y178" s="582">
        <v>0</v>
      </c>
      <c r="Z178" s="582">
        <v>0</v>
      </c>
    </row>
    <row r="179" spans="1:26">
      <c r="A179" s="824"/>
      <c r="B179" s="825"/>
      <c r="C179" s="825"/>
      <c r="D179" s="64">
        <v>8</v>
      </c>
      <c r="E179" s="61">
        <f t="shared" si="18"/>
        <v>0</v>
      </c>
      <c r="F179" s="582">
        <v>0</v>
      </c>
      <c r="G179" s="582">
        <v>0</v>
      </c>
      <c r="H179" s="582">
        <v>0</v>
      </c>
      <c r="I179" s="582">
        <v>0</v>
      </c>
      <c r="J179" s="582">
        <v>0</v>
      </c>
      <c r="K179" s="582">
        <v>0</v>
      </c>
      <c r="L179" s="582">
        <v>0</v>
      </c>
      <c r="M179" s="582">
        <v>0</v>
      </c>
      <c r="N179" s="582">
        <v>0</v>
      </c>
      <c r="O179" s="582">
        <v>0</v>
      </c>
      <c r="P179" s="582">
        <v>0</v>
      </c>
      <c r="Q179" s="582">
        <v>0</v>
      </c>
      <c r="R179" s="582">
        <v>0</v>
      </c>
      <c r="S179" s="582">
        <v>0</v>
      </c>
      <c r="T179" s="582">
        <v>0</v>
      </c>
      <c r="U179" s="582">
        <v>0</v>
      </c>
      <c r="V179" s="582">
        <v>0</v>
      </c>
      <c r="W179" s="582">
        <v>0</v>
      </c>
      <c r="X179" s="582">
        <v>0</v>
      </c>
      <c r="Y179" s="582">
        <v>0</v>
      </c>
      <c r="Z179" s="582">
        <v>0</v>
      </c>
    </row>
    <row r="180" spans="1:26">
      <c r="A180" s="824"/>
      <c r="B180" s="825"/>
      <c r="C180" s="825"/>
      <c r="D180" s="64">
        <v>9</v>
      </c>
      <c r="E180" s="61">
        <f t="shared" si="18"/>
        <v>0</v>
      </c>
      <c r="F180" s="582">
        <v>0</v>
      </c>
      <c r="G180" s="582">
        <v>0</v>
      </c>
      <c r="H180" s="582">
        <v>0</v>
      </c>
      <c r="I180" s="582">
        <v>0</v>
      </c>
      <c r="J180" s="582">
        <v>0</v>
      </c>
      <c r="K180" s="582">
        <v>0</v>
      </c>
      <c r="L180" s="582">
        <v>0</v>
      </c>
      <c r="M180" s="582">
        <v>0</v>
      </c>
      <c r="N180" s="582">
        <v>0</v>
      </c>
      <c r="O180" s="582">
        <v>0</v>
      </c>
      <c r="P180" s="582">
        <v>0</v>
      </c>
      <c r="Q180" s="582">
        <v>0</v>
      </c>
      <c r="R180" s="582">
        <v>0</v>
      </c>
      <c r="S180" s="582">
        <v>0</v>
      </c>
      <c r="T180" s="582">
        <v>0</v>
      </c>
      <c r="U180" s="582">
        <v>0</v>
      </c>
      <c r="V180" s="582">
        <v>0</v>
      </c>
      <c r="W180" s="582">
        <v>0</v>
      </c>
      <c r="X180" s="582">
        <v>0</v>
      </c>
      <c r="Y180" s="582">
        <v>0</v>
      </c>
      <c r="Z180" s="582">
        <v>0</v>
      </c>
    </row>
    <row r="181" spans="1:26" ht="15.75" thickBot="1">
      <c r="A181" s="824"/>
      <c r="B181" s="825"/>
      <c r="C181" s="825"/>
      <c r="D181" s="65">
        <v>10</v>
      </c>
      <c r="E181" s="62">
        <f t="shared" si="18"/>
        <v>0</v>
      </c>
      <c r="F181" s="583">
        <v>0</v>
      </c>
      <c r="G181" s="583">
        <v>0</v>
      </c>
      <c r="H181" s="583">
        <v>0</v>
      </c>
      <c r="I181" s="583">
        <v>0</v>
      </c>
      <c r="J181" s="583">
        <v>0</v>
      </c>
      <c r="K181" s="583">
        <v>0</v>
      </c>
      <c r="L181" s="583">
        <v>0</v>
      </c>
      <c r="M181" s="583">
        <v>0</v>
      </c>
      <c r="N181" s="583">
        <v>0</v>
      </c>
      <c r="O181" s="583">
        <v>0</v>
      </c>
      <c r="P181" s="583">
        <v>0</v>
      </c>
      <c r="Q181" s="583">
        <v>0</v>
      </c>
      <c r="R181" s="583">
        <v>0</v>
      </c>
      <c r="S181" s="583">
        <v>0</v>
      </c>
      <c r="T181" s="583">
        <v>0</v>
      </c>
      <c r="U181" s="583">
        <v>0</v>
      </c>
      <c r="V181" s="583">
        <v>0</v>
      </c>
      <c r="W181" s="583">
        <v>0</v>
      </c>
      <c r="X181" s="583">
        <v>0</v>
      </c>
      <c r="Y181" s="583">
        <v>0</v>
      </c>
      <c r="Z181" s="583">
        <v>0</v>
      </c>
    </row>
    <row r="182" spans="1:26">
      <c r="A182" s="824" t="s">
        <v>528</v>
      </c>
      <c r="B182" s="825"/>
      <c r="C182" s="825">
        <v>637031</v>
      </c>
      <c r="D182" s="63">
        <v>1</v>
      </c>
      <c r="E182" s="61">
        <f t="shared" si="18"/>
        <v>0</v>
      </c>
      <c r="F182" s="581">
        <v>0</v>
      </c>
      <c r="G182" s="581">
        <v>0</v>
      </c>
      <c r="H182" s="581">
        <v>0</v>
      </c>
      <c r="I182" s="581">
        <v>0</v>
      </c>
      <c r="J182" s="581">
        <v>0</v>
      </c>
      <c r="K182" s="581">
        <v>0</v>
      </c>
      <c r="L182" s="581">
        <v>0</v>
      </c>
      <c r="M182" s="581">
        <v>0</v>
      </c>
      <c r="N182" s="581">
        <v>0</v>
      </c>
      <c r="O182" s="581">
        <v>0</v>
      </c>
      <c r="P182" s="581">
        <v>0</v>
      </c>
      <c r="Q182" s="581">
        <v>0</v>
      </c>
      <c r="R182" s="581">
        <v>0</v>
      </c>
      <c r="S182" s="581">
        <v>0</v>
      </c>
      <c r="T182" s="581">
        <v>0</v>
      </c>
      <c r="U182" s="581">
        <v>0</v>
      </c>
      <c r="V182" s="581">
        <v>0</v>
      </c>
      <c r="W182" s="581">
        <v>0</v>
      </c>
      <c r="X182" s="581">
        <v>0</v>
      </c>
      <c r="Y182" s="581">
        <v>0</v>
      </c>
      <c r="Z182" s="581">
        <v>0</v>
      </c>
    </row>
    <row r="183" spans="1:26">
      <c r="A183" s="824"/>
      <c r="B183" s="825"/>
      <c r="C183" s="825"/>
      <c r="D183" s="64">
        <v>2</v>
      </c>
      <c r="E183" s="61">
        <f t="shared" si="18"/>
        <v>0</v>
      </c>
      <c r="F183" s="582">
        <v>0</v>
      </c>
      <c r="G183" s="582">
        <v>0</v>
      </c>
      <c r="H183" s="582">
        <v>0</v>
      </c>
      <c r="I183" s="582">
        <v>0</v>
      </c>
      <c r="J183" s="582">
        <v>0</v>
      </c>
      <c r="K183" s="582">
        <v>0</v>
      </c>
      <c r="L183" s="582">
        <v>0</v>
      </c>
      <c r="M183" s="582">
        <v>0</v>
      </c>
      <c r="N183" s="582">
        <v>0</v>
      </c>
      <c r="O183" s="582">
        <v>0</v>
      </c>
      <c r="P183" s="582">
        <v>0</v>
      </c>
      <c r="Q183" s="582">
        <v>0</v>
      </c>
      <c r="R183" s="582">
        <v>0</v>
      </c>
      <c r="S183" s="582">
        <v>0</v>
      </c>
      <c r="T183" s="582">
        <v>0</v>
      </c>
      <c r="U183" s="582">
        <v>0</v>
      </c>
      <c r="V183" s="582">
        <v>0</v>
      </c>
      <c r="W183" s="582">
        <v>0</v>
      </c>
      <c r="X183" s="582">
        <v>0</v>
      </c>
      <c r="Y183" s="582">
        <v>0</v>
      </c>
      <c r="Z183" s="582">
        <v>0</v>
      </c>
    </row>
    <row r="184" spans="1:26">
      <c r="A184" s="824"/>
      <c r="B184" s="825"/>
      <c r="C184" s="825"/>
      <c r="D184" s="64">
        <v>3</v>
      </c>
      <c r="E184" s="61">
        <f t="shared" si="18"/>
        <v>0</v>
      </c>
      <c r="F184" s="582">
        <v>0</v>
      </c>
      <c r="G184" s="582">
        <v>0</v>
      </c>
      <c r="H184" s="582">
        <v>0</v>
      </c>
      <c r="I184" s="582">
        <v>0</v>
      </c>
      <c r="J184" s="582">
        <v>0</v>
      </c>
      <c r="K184" s="582">
        <v>0</v>
      </c>
      <c r="L184" s="582">
        <v>0</v>
      </c>
      <c r="M184" s="582">
        <v>0</v>
      </c>
      <c r="N184" s="582">
        <v>0</v>
      </c>
      <c r="O184" s="582">
        <v>0</v>
      </c>
      <c r="P184" s="582">
        <v>0</v>
      </c>
      <c r="Q184" s="582">
        <v>0</v>
      </c>
      <c r="R184" s="582">
        <v>0</v>
      </c>
      <c r="S184" s="582">
        <v>0</v>
      </c>
      <c r="T184" s="582">
        <v>0</v>
      </c>
      <c r="U184" s="582">
        <v>0</v>
      </c>
      <c r="V184" s="582">
        <v>0</v>
      </c>
      <c r="W184" s="582">
        <v>0</v>
      </c>
      <c r="X184" s="582">
        <v>0</v>
      </c>
      <c r="Y184" s="582">
        <v>0</v>
      </c>
      <c r="Z184" s="582">
        <v>0</v>
      </c>
    </row>
    <row r="185" spans="1:26">
      <c r="A185" s="824"/>
      <c r="B185" s="825"/>
      <c r="C185" s="825"/>
      <c r="D185" s="64">
        <v>4</v>
      </c>
      <c r="E185" s="61">
        <f t="shared" si="18"/>
        <v>0</v>
      </c>
      <c r="F185" s="582">
        <v>0</v>
      </c>
      <c r="G185" s="582">
        <v>0</v>
      </c>
      <c r="H185" s="582">
        <v>0</v>
      </c>
      <c r="I185" s="582">
        <v>0</v>
      </c>
      <c r="J185" s="582">
        <v>0</v>
      </c>
      <c r="K185" s="582">
        <v>0</v>
      </c>
      <c r="L185" s="582">
        <v>0</v>
      </c>
      <c r="M185" s="582">
        <v>0</v>
      </c>
      <c r="N185" s="582">
        <v>0</v>
      </c>
      <c r="O185" s="582">
        <v>0</v>
      </c>
      <c r="P185" s="582">
        <v>0</v>
      </c>
      <c r="Q185" s="582">
        <v>0</v>
      </c>
      <c r="R185" s="582">
        <v>0</v>
      </c>
      <c r="S185" s="582">
        <v>0</v>
      </c>
      <c r="T185" s="582">
        <v>0</v>
      </c>
      <c r="U185" s="582">
        <v>0</v>
      </c>
      <c r="V185" s="582">
        <v>0</v>
      </c>
      <c r="W185" s="582">
        <v>0</v>
      </c>
      <c r="X185" s="582">
        <v>0</v>
      </c>
      <c r="Y185" s="582">
        <v>0</v>
      </c>
      <c r="Z185" s="582">
        <v>0</v>
      </c>
    </row>
    <row r="186" spans="1:26">
      <c r="A186" s="824"/>
      <c r="B186" s="825"/>
      <c r="C186" s="825"/>
      <c r="D186" s="64">
        <v>5</v>
      </c>
      <c r="E186" s="61">
        <f t="shared" si="18"/>
        <v>0</v>
      </c>
      <c r="F186" s="582">
        <v>0</v>
      </c>
      <c r="G186" s="582">
        <v>0</v>
      </c>
      <c r="H186" s="582">
        <v>0</v>
      </c>
      <c r="I186" s="582">
        <v>0</v>
      </c>
      <c r="J186" s="582">
        <v>0</v>
      </c>
      <c r="K186" s="582">
        <v>0</v>
      </c>
      <c r="L186" s="582">
        <v>0</v>
      </c>
      <c r="M186" s="582">
        <v>0</v>
      </c>
      <c r="N186" s="582">
        <v>0</v>
      </c>
      <c r="O186" s="582">
        <v>0</v>
      </c>
      <c r="P186" s="582">
        <v>0</v>
      </c>
      <c r="Q186" s="582">
        <v>0</v>
      </c>
      <c r="R186" s="582">
        <v>0</v>
      </c>
      <c r="S186" s="582">
        <v>0</v>
      </c>
      <c r="T186" s="582">
        <v>0</v>
      </c>
      <c r="U186" s="582">
        <v>0</v>
      </c>
      <c r="V186" s="582">
        <v>0</v>
      </c>
      <c r="W186" s="582">
        <v>0</v>
      </c>
      <c r="X186" s="582">
        <v>0</v>
      </c>
      <c r="Y186" s="582">
        <v>0</v>
      </c>
      <c r="Z186" s="582">
        <v>0</v>
      </c>
    </row>
    <row r="187" spans="1:26">
      <c r="A187" s="824"/>
      <c r="B187" s="825"/>
      <c r="C187" s="825"/>
      <c r="D187" s="64">
        <v>6</v>
      </c>
      <c r="E187" s="61">
        <f t="shared" si="18"/>
        <v>0</v>
      </c>
      <c r="F187" s="582">
        <v>0</v>
      </c>
      <c r="G187" s="582">
        <v>0</v>
      </c>
      <c r="H187" s="582">
        <v>0</v>
      </c>
      <c r="I187" s="582">
        <v>0</v>
      </c>
      <c r="J187" s="582">
        <v>0</v>
      </c>
      <c r="K187" s="582">
        <v>0</v>
      </c>
      <c r="L187" s="582">
        <v>0</v>
      </c>
      <c r="M187" s="582">
        <v>0</v>
      </c>
      <c r="N187" s="582">
        <v>0</v>
      </c>
      <c r="O187" s="582">
        <v>0</v>
      </c>
      <c r="P187" s="582">
        <v>0</v>
      </c>
      <c r="Q187" s="582">
        <v>0</v>
      </c>
      <c r="R187" s="582">
        <v>0</v>
      </c>
      <c r="S187" s="582">
        <v>0</v>
      </c>
      <c r="T187" s="582">
        <v>0</v>
      </c>
      <c r="U187" s="582">
        <v>0</v>
      </c>
      <c r="V187" s="582">
        <v>0</v>
      </c>
      <c r="W187" s="582">
        <v>0</v>
      </c>
      <c r="X187" s="582">
        <v>0</v>
      </c>
      <c r="Y187" s="582">
        <v>0</v>
      </c>
      <c r="Z187" s="582">
        <v>0</v>
      </c>
    </row>
    <row r="188" spans="1:26">
      <c r="A188" s="824"/>
      <c r="B188" s="825"/>
      <c r="C188" s="825"/>
      <c r="D188" s="64">
        <v>7</v>
      </c>
      <c r="E188" s="61">
        <f t="shared" si="18"/>
        <v>0</v>
      </c>
      <c r="F188" s="582">
        <v>0</v>
      </c>
      <c r="G188" s="582">
        <v>0</v>
      </c>
      <c r="H188" s="582">
        <v>0</v>
      </c>
      <c r="I188" s="582">
        <v>0</v>
      </c>
      <c r="J188" s="582">
        <v>0</v>
      </c>
      <c r="K188" s="582">
        <v>0</v>
      </c>
      <c r="L188" s="582">
        <v>0</v>
      </c>
      <c r="M188" s="582">
        <v>0</v>
      </c>
      <c r="N188" s="582">
        <v>0</v>
      </c>
      <c r="O188" s="582">
        <v>0</v>
      </c>
      <c r="P188" s="582">
        <v>0</v>
      </c>
      <c r="Q188" s="582">
        <v>0</v>
      </c>
      <c r="R188" s="582">
        <v>0</v>
      </c>
      <c r="S188" s="582">
        <v>0</v>
      </c>
      <c r="T188" s="582">
        <v>0</v>
      </c>
      <c r="U188" s="582">
        <v>0</v>
      </c>
      <c r="V188" s="582">
        <v>0</v>
      </c>
      <c r="W188" s="582">
        <v>0</v>
      </c>
      <c r="X188" s="582">
        <v>0</v>
      </c>
      <c r="Y188" s="582">
        <v>0</v>
      </c>
      <c r="Z188" s="582">
        <v>0</v>
      </c>
    </row>
    <row r="189" spans="1:26">
      <c r="A189" s="824"/>
      <c r="B189" s="825"/>
      <c r="C189" s="825"/>
      <c r="D189" s="64">
        <v>8</v>
      </c>
      <c r="E189" s="61">
        <f t="shared" si="18"/>
        <v>0</v>
      </c>
      <c r="F189" s="582">
        <v>0</v>
      </c>
      <c r="G189" s="582">
        <v>0</v>
      </c>
      <c r="H189" s="582">
        <v>0</v>
      </c>
      <c r="I189" s="582">
        <v>0</v>
      </c>
      <c r="J189" s="582">
        <v>0</v>
      </c>
      <c r="K189" s="582">
        <v>0</v>
      </c>
      <c r="L189" s="582">
        <v>0</v>
      </c>
      <c r="M189" s="582">
        <v>0</v>
      </c>
      <c r="N189" s="582">
        <v>0</v>
      </c>
      <c r="O189" s="582">
        <v>0</v>
      </c>
      <c r="P189" s="582">
        <v>0</v>
      </c>
      <c r="Q189" s="582">
        <v>0</v>
      </c>
      <c r="R189" s="582">
        <v>0</v>
      </c>
      <c r="S189" s="582">
        <v>0</v>
      </c>
      <c r="T189" s="582">
        <v>0</v>
      </c>
      <c r="U189" s="582">
        <v>0</v>
      </c>
      <c r="V189" s="582">
        <v>0</v>
      </c>
      <c r="W189" s="582">
        <v>0</v>
      </c>
      <c r="X189" s="582">
        <v>0</v>
      </c>
      <c r="Y189" s="582">
        <v>0</v>
      </c>
      <c r="Z189" s="582">
        <v>0</v>
      </c>
    </row>
    <row r="190" spans="1:26">
      <c r="A190" s="824"/>
      <c r="B190" s="825"/>
      <c r="C190" s="825"/>
      <c r="D190" s="64">
        <v>9</v>
      </c>
      <c r="E190" s="61">
        <f t="shared" si="18"/>
        <v>0</v>
      </c>
      <c r="F190" s="582">
        <v>0</v>
      </c>
      <c r="G190" s="582">
        <v>0</v>
      </c>
      <c r="H190" s="582">
        <v>0</v>
      </c>
      <c r="I190" s="582">
        <v>0</v>
      </c>
      <c r="J190" s="582">
        <v>0</v>
      </c>
      <c r="K190" s="582">
        <v>0</v>
      </c>
      <c r="L190" s="582">
        <v>0</v>
      </c>
      <c r="M190" s="582">
        <v>0</v>
      </c>
      <c r="N190" s="582">
        <v>0</v>
      </c>
      <c r="O190" s="582">
        <v>0</v>
      </c>
      <c r="P190" s="582">
        <v>0</v>
      </c>
      <c r="Q190" s="582">
        <v>0</v>
      </c>
      <c r="R190" s="582">
        <v>0</v>
      </c>
      <c r="S190" s="582">
        <v>0</v>
      </c>
      <c r="T190" s="582">
        <v>0</v>
      </c>
      <c r="U190" s="582">
        <v>0</v>
      </c>
      <c r="V190" s="582">
        <v>0</v>
      </c>
      <c r="W190" s="582">
        <v>0</v>
      </c>
      <c r="X190" s="582">
        <v>0</v>
      </c>
      <c r="Y190" s="582">
        <v>0</v>
      </c>
      <c r="Z190" s="582">
        <v>0</v>
      </c>
    </row>
    <row r="191" spans="1:26" ht="15.75" thickBot="1">
      <c r="A191" s="824"/>
      <c r="B191" s="825"/>
      <c r="C191" s="825"/>
      <c r="D191" s="65">
        <v>10</v>
      </c>
      <c r="E191" s="62">
        <f t="shared" si="18"/>
        <v>0</v>
      </c>
      <c r="F191" s="583">
        <v>0</v>
      </c>
      <c r="G191" s="583">
        <v>0</v>
      </c>
      <c r="H191" s="583">
        <v>0</v>
      </c>
      <c r="I191" s="583">
        <v>0</v>
      </c>
      <c r="J191" s="583">
        <v>0</v>
      </c>
      <c r="K191" s="583">
        <v>0</v>
      </c>
      <c r="L191" s="583">
        <v>0</v>
      </c>
      <c r="M191" s="583">
        <v>0</v>
      </c>
      <c r="N191" s="583">
        <v>0</v>
      </c>
      <c r="O191" s="583">
        <v>0</v>
      </c>
      <c r="P191" s="583">
        <v>0</v>
      </c>
      <c r="Q191" s="583">
        <v>0</v>
      </c>
      <c r="R191" s="583">
        <v>0</v>
      </c>
      <c r="S191" s="583">
        <v>0</v>
      </c>
      <c r="T191" s="583">
        <v>0</v>
      </c>
      <c r="U191" s="583">
        <v>0</v>
      </c>
      <c r="V191" s="583">
        <v>0</v>
      </c>
      <c r="W191" s="583">
        <v>0</v>
      </c>
      <c r="X191" s="583">
        <v>0</v>
      </c>
      <c r="Y191" s="583">
        <v>0</v>
      </c>
      <c r="Z191" s="583">
        <v>0</v>
      </c>
    </row>
  </sheetData>
  <mergeCells count="60">
    <mergeCell ref="F1:Z1"/>
    <mergeCell ref="A16:A25"/>
    <mergeCell ref="B16:B25"/>
    <mergeCell ref="C16:C25"/>
    <mergeCell ref="A57:A66"/>
    <mergeCell ref="B57:B66"/>
    <mergeCell ref="C57:C66"/>
    <mergeCell ref="A47:A56"/>
    <mergeCell ref="B47:B56"/>
    <mergeCell ref="C47:C56"/>
    <mergeCell ref="A4:C4"/>
    <mergeCell ref="C6:C15"/>
    <mergeCell ref="A6:A15"/>
    <mergeCell ref="B6:B15"/>
    <mergeCell ref="A1:D1"/>
    <mergeCell ref="A2:D2"/>
    <mergeCell ref="A171:C171"/>
    <mergeCell ref="A172:A181"/>
    <mergeCell ref="B172:B181"/>
    <mergeCell ref="C172:C181"/>
    <mergeCell ref="A182:A191"/>
    <mergeCell ref="B182:B191"/>
    <mergeCell ref="C182:C191"/>
    <mergeCell ref="A67:A76"/>
    <mergeCell ref="B67:B76"/>
    <mergeCell ref="A26:A35"/>
    <mergeCell ref="B26:B35"/>
    <mergeCell ref="C26:C35"/>
    <mergeCell ref="A37:A46"/>
    <mergeCell ref="B37:B46"/>
    <mergeCell ref="C37:C46"/>
    <mergeCell ref="C67:C76"/>
    <mergeCell ref="A110:A119"/>
    <mergeCell ref="B110:B119"/>
    <mergeCell ref="A77:C77"/>
    <mergeCell ref="A79:A88"/>
    <mergeCell ref="B79:B88"/>
    <mergeCell ref="C79:C88"/>
    <mergeCell ref="A89:A98"/>
    <mergeCell ref="B89:B98"/>
    <mergeCell ref="C89:C98"/>
    <mergeCell ref="A100:A109"/>
    <mergeCell ref="B100:B109"/>
    <mergeCell ref="C100:C109"/>
    <mergeCell ref="C110:C119"/>
    <mergeCell ref="A161:A170"/>
    <mergeCell ref="B161:B170"/>
    <mergeCell ref="C161:C170"/>
    <mergeCell ref="A140:A149"/>
    <mergeCell ref="B140:B149"/>
    <mergeCell ref="A151:A160"/>
    <mergeCell ref="B151:B160"/>
    <mergeCell ref="C151:C160"/>
    <mergeCell ref="C140:C149"/>
    <mergeCell ref="A120:A129"/>
    <mergeCell ref="B120:B129"/>
    <mergeCell ref="C120:C129"/>
    <mergeCell ref="A130:A139"/>
    <mergeCell ref="B130:B139"/>
    <mergeCell ref="C130:C139"/>
  </mergeCells>
  <conditionalFormatting sqref="F2:Z2">
    <cfRule type="cellIs" dxfId="1" priority="1" operator="equal">
      <formula>0</formula>
    </cfRule>
  </conditionalFormatting>
  <pageMargins left="0.7" right="0.7" top="0.75" bottom="0.75" header="0.3" footer="0.3"/>
  <pageSetup paperSize="9" scale="29" orientation="portrait" r:id="rId1"/>
  <ignoredErrors>
    <ignoredError sqref="E36 E99" formula="1"/>
  </ignoredError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árok13">
    <tabColor rgb="FFFFFF00"/>
    <outlinePr summaryBelow="0" summaryRight="0"/>
  </sheetPr>
  <dimension ref="A1:AB105"/>
  <sheetViews>
    <sheetView zoomScale="90" zoomScaleNormal="90" workbookViewId="0">
      <pane ySplit="3" topLeftCell="A4" activePane="bottomLeft" state="frozen"/>
      <selection activeCell="G18" sqref="G18"/>
      <selection pane="bottomLeft" activeCell="F56" sqref="F56"/>
    </sheetView>
  </sheetViews>
  <sheetFormatPr defaultColWidth="8.7109375" defaultRowHeight="15" outlineLevelRow="1" outlineLevelCol="1"/>
  <cols>
    <col min="1" max="1" width="22.42578125" customWidth="1"/>
    <col min="2" max="2" width="23.28515625" customWidth="1"/>
    <col min="3" max="3" width="22.42578125" customWidth="1"/>
    <col min="4" max="4" width="8.7109375" style="197"/>
    <col min="5" max="5" width="17.7109375" customWidth="1"/>
    <col min="6" max="25" width="18.7109375" customWidth="1" outlineLevel="1"/>
    <col min="26" max="26" width="18.7109375" customWidth="1"/>
    <col min="28" max="28" width="10.7109375" bestFit="1" customWidth="1"/>
  </cols>
  <sheetData>
    <row r="1" spans="1:26" ht="28.5">
      <c r="A1" s="840"/>
      <c r="B1" s="840"/>
      <c r="C1" s="840"/>
      <c r="D1" s="840"/>
      <c r="F1" s="839" t="s">
        <v>294</v>
      </c>
      <c r="G1" s="839"/>
      <c r="H1" s="839"/>
      <c r="I1" s="839"/>
      <c r="J1" s="839"/>
      <c r="K1" s="839"/>
      <c r="L1" s="839"/>
      <c r="M1" s="839"/>
      <c r="N1" s="839"/>
      <c r="O1" s="839"/>
      <c r="P1" s="839"/>
      <c r="Q1" s="839"/>
      <c r="R1" s="839"/>
      <c r="S1" s="839"/>
      <c r="T1" s="839"/>
      <c r="U1" s="839"/>
      <c r="V1" s="839"/>
      <c r="W1" s="839"/>
      <c r="X1" s="839"/>
      <c r="Y1" s="839"/>
      <c r="Z1" s="839"/>
    </row>
    <row r="2" spans="1:26" ht="36" customHeight="1" thickBot="1">
      <c r="A2" s="826" t="s">
        <v>95</v>
      </c>
      <c r="B2" s="826"/>
      <c r="C2" s="826"/>
      <c r="D2" s="827"/>
      <c r="E2" s="66" t="s">
        <v>35</v>
      </c>
      <c r="F2" s="573" t="str">
        <f>MODULY_CBA!B3</f>
        <v>Centrálny informačný systém na riadenie IT aktív</v>
      </c>
      <c r="G2" s="573" t="str">
        <f>MODULY_CBA!$B4</f>
        <v>Snow Risk Monitor</v>
      </c>
      <c r="H2" s="573" t="str">
        <f>MODULY_CBA!$B5</f>
        <v>BizzDesign / APM</v>
      </c>
      <c r="I2" s="573" t="str">
        <f>MODULY_CBA!$B6</f>
        <v>FinOps platforma</v>
      </c>
      <c r="J2" s="573">
        <f>MODULY_CBA!$B7</f>
        <v>0</v>
      </c>
      <c r="K2" s="573">
        <f>MODULY_CBA!$B8</f>
        <v>0</v>
      </c>
      <c r="L2" s="573">
        <f>MODULY_CBA!$B9</f>
        <v>0</v>
      </c>
      <c r="M2" s="573">
        <f>MODULY_CBA!$B10</f>
        <v>0</v>
      </c>
      <c r="N2" s="573">
        <f>MODULY_CBA!$B11</f>
        <v>0</v>
      </c>
      <c r="O2" s="573">
        <f>MODULY_CBA!$B12</f>
        <v>0</v>
      </c>
      <c r="P2" s="573">
        <f>MODULY_CBA!$B13</f>
        <v>0</v>
      </c>
      <c r="Q2" s="573">
        <f>MODULY_CBA!$B14</f>
        <v>0</v>
      </c>
      <c r="R2" s="573">
        <f>MODULY_CBA!$B15</f>
        <v>0</v>
      </c>
      <c r="S2" s="573">
        <f>MODULY_CBA!$B16</f>
        <v>0</v>
      </c>
      <c r="T2" s="573">
        <f>MODULY_CBA!$B17</f>
        <v>0</v>
      </c>
      <c r="U2" s="573">
        <f>MODULY_CBA!$B18</f>
        <v>0</v>
      </c>
      <c r="V2" s="573">
        <f>MODULY_CBA!$B19</f>
        <v>0</v>
      </c>
      <c r="W2" s="573">
        <f>MODULY_CBA!$B20</f>
        <v>0</v>
      </c>
      <c r="X2" s="573">
        <f>MODULY_CBA!$B21</f>
        <v>0</v>
      </c>
      <c r="Y2" s="573">
        <f>MODULY_CBA!$B22</f>
        <v>0</v>
      </c>
      <c r="Z2" s="573">
        <f>MODULY_CBA!$B23</f>
        <v>0</v>
      </c>
    </row>
    <row r="3" spans="1:26" ht="15.75" thickBot="1">
      <c r="A3" s="36" t="s">
        <v>0</v>
      </c>
      <c r="B3" s="70" t="s">
        <v>73</v>
      </c>
      <c r="C3" s="70" t="s">
        <v>72</v>
      </c>
      <c r="D3" s="157" t="s">
        <v>23</v>
      </c>
      <c r="E3" s="17"/>
      <c r="F3" s="17"/>
      <c r="G3" s="17"/>
      <c r="H3" s="17"/>
      <c r="I3" s="17"/>
      <c r="J3" s="17"/>
      <c r="K3" s="17"/>
      <c r="L3" s="17"/>
      <c r="M3" s="17"/>
      <c r="N3" s="17"/>
      <c r="O3" s="17"/>
      <c r="P3" s="17"/>
      <c r="Q3" s="17"/>
      <c r="R3" s="17"/>
      <c r="S3" s="17"/>
      <c r="T3" s="17"/>
      <c r="U3" s="17"/>
      <c r="V3" s="17"/>
      <c r="W3" s="17"/>
      <c r="X3" s="17"/>
      <c r="Y3" s="17"/>
      <c r="Z3" s="17"/>
    </row>
    <row r="4" spans="1:26" ht="15.75" thickBot="1">
      <c r="A4" s="837" t="s">
        <v>85</v>
      </c>
      <c r="B4" s="837"/>
      <c r="C4" s="837"/>
      <c r="D4" s="590"/>
      <c r="E4" s="72">
        <f t="shared" ref="E4:F4" si="0">SUM(E5:E54)</f>
        <v>0</v>
      </c>
      <c r="F4" s="73">
        <f t="shared" si="0"/>
        <v>0</v>
      </c>
      <c r="G4" s="73">
        <f t="shared" ref="G4:Z4" si="1">SUM(G5:G54)</f>
        <v>0</v>
      </c>
      <c r="H4" s="73">
        <f t="shared" si="1"/>
        <v>0</v>
      </c>
      <c r="I4" s="73">
        <f t="shared" si="1"/>
        <v>0</v>
      </c>
      <c r="J4" s="73">
        <f t="shared" si="1"/>
        <v>0</v>
      </c>
      <c r="K4" s="73">
        <f t="shared" si="1"/>
        <v>0</v>
      </c>
      <c r="L4" s="73">
        <f t="shared" si="1"/>
        <v>0</v>
      </c>
      <c r="M4" s="73">
        <f t="shared" si="1"/>
        <v>0</v>
      </c>
      <c r="N4" s="73">
        <f t="shared" si="1"/>
        <v>0</v>
      </c>
      <c r="O4" s="73">
        <f t="shared" si="1"/>
        <v>0</v>
      </c>
      <c r="P4" s="73">
        <f t="shared" si="1"/>
        <v>0</v>
      </c>
      <c r="Q4" s="73">
        <f t="shared" si="1"/>
        <v>0</v>
      </c>
      <c r="R4" s="73">
        <f t="shared" si="1"/>
        <v>0</v>
      </c>
      <c r="S4" s="73">
        <f t="shared" si="1"/>
        <v>0</v>
      </c>
      <c r="T4" s="73">
        <f t="shared" si="1"/>
        <v>0</v>
      </c>
      <c r="U4" s="73">
        <f t="shared" si="1"/>
        <v>0</v>
      </c>
      <c r="V4" s="73">
        <f t="shared" si="1"/>
        <v>0</v>
      </c>
      <c r="W4" s="73">
        <f t="shared" si="1"/>
        <v>0</v>
      </c>
      <c r="X4" s="73">
        <f t="shared" si="1"/>
        <v>0</v>
      </c>
      <c r="Y4" s="73">
        <f t="shared" si="1"/>
        <v>0</v>
      </c>
      <c r="Z4" s="73">
        <f t="shared" si="1"/>
        <v>0</v>
      </c>
    </row>
    <row r="5" spans="1:26" outlineLevel="1">
      <c r="A5" s="824" t="s">
        <v>87</v>
      </c>
      <c r="B5" s="824" t="s">
        <v>309</v>
      </c>
      <c r="C5" s="825">
        <v>713002</v>
      </c>
      <c r="D5" s="497">
        <v>1</v>
      </c>
      <c r="E5" s="67">
        <f t="shared" ref="E5:E54" si="2">SUM(F5:Z5)</f>
        <v>0</v>
      </c>
      <c r="F5" s="577">
        <f>IFERROR(SUMIFS('Rozpočet - HW a licencie'!$I$3:$I$105,'Rozpočet - HW a licencie'!$A$3:$A$105,'TCO TO BE - HW'!F$2,'Rozpočet - HW a licencie'!$C$3:$C$105,"HW",'Rozpočet - HW a licencie'!$G$3:$G$105,'TCO TO BE - HW'!$D5,'Rozpočet - HW a licencie'!$D$3:$D$105,'TCO TO BE - HW'!$B$5)+SUMIFS('Rozpočet - HW a licencie'!$I$3:$I$105,'Rozpočet - HW a licencie'!$A$3:$A$105,'TCO TO BE - HW'!F$2,'Rozpočet - HW a licencie'!$C$3:$C$105,"SW pre HW",'Rozpočet - HW a licencie'!$G$3:$G$105,'TCO TO BE - HW'!$D5,'Rozpočet - HW a licencie'!$D$3:$D$105,'TCO TO BE - HW'!$B$5),)</f>
        <v>0</v>
      </c>
      <c r="G5" s="577">
        <f>IFERROR(SUMIFS('Rozpočet - HW a licencie'!$I$3:$I$105,'Rozpočet - HW a licencie'!$A$3:$A$105,'TCO TO BE - HW'!G$2,'Rozpočet - HW a licencie'!$C$3:$C$105,"HW",'Rozpočet - HW a licencie'!$G$3:$G$105,'TCO TO BE - HW'!$D5,'Rozpočet - HW a licencie'!$D$3:$D$105,'TCO TO BE - HW'!$B$5)+SUMIFS('Rozpočet - HW a licencie'!$I$3:$I$105,'Rozpočet - HW a licencie'!$A$3:$A$105,'TCO TO BE - HW'!G$2,'Rozpočet - HW a licencie'!$C$3:$C$105,"SW pre HW",'Rozpočet - HW a licencie'!$G$3:$G$105,'TCO TO BE - HW'!$D5,'Rozpočet - HW a licencie'!$D$3:$D$105,'TCO TO BE - HW'!$B$5),)</f>
        <v>0</v>
      </c>
      <c r="H5" s="577">
        <f>IFERROR(SUMIFS('Rozpočet - HW a licencie'!$I$3:$I$105,'Rozpočet - HW a licencie'!$A$3:$A$105,'TCO TO BE - HW'!H$2,'Rozpočet - HW a licencie'!$C$3:$C$105,"HW",'Rozpočet - HW a licencie'!$G$3:$G$105,'TCO TO BE - HW'!$D5,'Rozpočet - HW a licencie'!$D$3:$D$105,'TCO TO BE - HW'!$B$5)+SUMIFS('Rozpočet - HW a licencie'!$I$3:$I$105,'Rozpočet - HW a licencie'!$A$3:$A$105,'TCO TO BE - HW'!H$2,'Rozpočet - HW a licencie'!$C$3:$C$105,"SW pre HW",'Rozpočet - HW a licencie'!$G$3:$G$105,'TCO TO BE - HW'!$D5,'Rozpočet - HW a licencie'!$D$3:$D$105,'TCO TO BE - HW'!$B$5),)</f>
        <v>0</v>
      </c>
      <c r="I5" s="577">
        <f>IFERROR(SUMIFS('Rozpočet - HW a licencie'!$I$3:$I$105,'Rozpočet - HW a licencie'!$A$3:$A$105,'TCO TO BE - HW'!I$2,'Rozpočet - HW a licencie'!$C$3:$C$105,"HW",'Rozpočet - HW a licencie'!$G$3:$G$105,'TCO TO BE - HW'!$D5,'Rozpočet - HW a licencie'!$D$3:$D$105,'TCO TO BE - HW'!$B$5)+SUMIFS('Rozpočet - HW a licencie'!$I$3:$I$105,'Rozpočet - HW a licencie'!$A$3:$A$105,'TCO TO BE - HW'!I$2,'Rozpočet - HW a licencie'!$C$3:$C$105,"SW pre HW",'Rozpočet - HW a licencie'!$G$3:$G$105,'TCO TO BE - HW'!$D5,'Rozpočet - HW a licencie'!$D$3:$D$105,'TCO TO BE - HW'!$B$5),)</f>
        <v>0</v>
      </c>
      <c r="J5" s="577">
        <f>IFERROR(SUMIFS('Rozpočet - HW a licencie'!$I$3:$I$105,'Rozpočet - HW a licencie'!$A$3:$A$105,'TCO TO BE - HW'!J$2,'Rozpočet - HW a licencie'!$C$3:$C$105,"HW",'Rozpočet - HW a licencie'!$G$3:$G$105,'TCO TO BE - HW'!$D5,'Rozpočet - HW a licencie'!$D$3:$D$105,'TCO TO BE - HW'!$B$5)+SUMIFS('Rozpočet - HW a licencie'!$I$3:$I$105,'Rozpočet - HW a licencie'!$A$3:$A$105,'TCO TO BE - HW'!J$2,'Rozpočet - HW a licencie'!$C$3:$C$105,"SW pre HW",'Rozpočet - HW a licencie'!$G$3:$G$105,'TCO TO BE - HW'!$D5,'Rozpočet - HW a licencie'!$D$3:$D$105,'TCO TO BE - HW'!$B$5),)</f>
        <v>0</v>
      </c>
      <c r="K5" s="577">
        <f>IFERROR(SUMIFS('Rozpočet - HW a licencie'!$I$3:$I$105,'Rozpočet - HW a licencie'!$A$3:$A$105,'TCO TO BE - HW'!K$2,'Rozpočet - HW a licencie'!$C$3:$C$105,"HW",'Rozpočet - HW a licencie'!$G$3:$G$105,'TCO TO BE - HW'!$D5,'Rozpočet - HW a licencie'!$D$3:$D$105,'TCO TO BE - HW'!$B$5)+SUMIFS('Rozpočet - HW a licencie'!$I$3:$I$105,'Rozpočet - HW a licencie'!$A$3:$A$105,'TCO TO BE - HW'!K$2,'Rozpočet - HW a licencie'!$C$3:$C$105,"SW pre HW",'Rozpočet - HW a licencie'!$G$3:$G$105,'TCO TO BE - HW'!$D5,'Rozpočet - HW a licencie'!$D$3:$D$105,'TCO TO BE - HW'!$B$5),)</f>
        <v>0</v>
      </c>
      <c r="L5" s="577">
        <f>IFERROR(SUMIFS('Rozpočet - HW a licencie'!$I$3:$I$105,'Rozpočet - HW a licencie'!$A$3:$A$105,'TCO TO BE - HW'!L$2,'Rozpočet - HW a licencie'!$C$3:$C$105,"HW",'Rozpočet - HW a licencie'!$G$3:$G$105,'TCO TO BE - HW'!$D5,'Rozpočet - HW a licencie'!$D$3:$D$105,'TCO TO BE - HW'!$B$5)+SUMIFS('Rozpočet - HW a licencie'!$I$3:$I$105,'Rozpočet - HW a licencie'!$A$3:$A$105,'TCO TO BE - HW'!L$2,'Rozpočet - HW a licencie'!$C$3:$C$105,"SW pre HW",'Rozpočet - HW a licencie'!$G$3:$G$105,'TCO TO BE - HW'!$D5,'Rozpočet - HW a licencie'!$D$3:$D$105,'TCO TO BE - HW'!$B$5),)</f>
        <v>0</v>
      </c>
      <c r="M5" s="577">
        <f>IFERROR(SUMIFS('Rozpočet - HW a licencie'!$I$3:$I$105,'Rozpočet - HW a licencie'!$A$3:$A$105,'TCO TO BE - HW'!M$2,'Rozpočet - HW a licencie'!$C$3:$C$105,"HW",'Rozpočet - HW a licencie'!$G$3:$G$105,'TCO TO BE - HW'!$D5,'Rozpočet - HW a licencie'!$D$3:$D$105,'TCO TO BE - HW'!$B$5)+SUMIFS('Rozpočet - HW a licencie'!$I$3:$I$105,'Rozpočet - HW a licencie'!$A$3:$A$105,'TCO TO BE - HW'!M$2,'Rozpočet - HW a licencie'!$C$3:$C$105,"SW pre HW",'Rozpočet - HW a licencie'!$G$3:$G$105,'TCO TO BE - HW'!$D5,'Rozpočet - HW a licencie'!$D$3:$D$105,'TCO TO BE - HW'!$B$5),)</f>
        <v>0</v>
      </c>
      <c r="N5" s="577">
        <f>IFERROR(SUMIFS('Rozpočet - HW a licencie'!$I$3:$I$105,'Rozpočet - HW a licencie'!$A$3:$A$105,'TCO TO BE - HW'!N$2,'Rozpočet - HW a licencie'!$C$3:$C$105,"HW",'Rozpočet - HW a licencie'!$G$3:$G$105,'TCO TO BE - HW'!$D5,'Rozpočet - HW a licencie'!$D$3:$D$105,'TCO TO BE - HW'!$B$5)+SUMIFS('Rozpočet - HW a licencie'!$I$3:$I$105,'Rozpočet - HW a licencie'!$A$3:$A$105,'TCO TO BE - HW'!N$2,'Rozpočet - HW a licencie'!$C$3:$C$105,"SW pre HW",'Rozpočet - HW a licencie'!$G$3:$G$105,'TCO TO BE - HW'!$D5,'Rozpočet - HW a licencie'!$D$3:$D$105,'TCO TO BE - HW'!$B$5),)</f>
        <v>0</v>
      </c>
      <c r="O5" s="577">
        <f>IFERROR(SUMIFS('Rozpočet - HW a licencie'!$I$3:$I$105,'Rozpočet - HW a licencie'!$A$3:$A$105,'TCO TO BE - HW'!O$2,'Rozpočet - HW a licencie'!$C$3:$C$105,"HW",'Rozpočet - HW a licencie'!$G$3:$G$105,'TCO TO BE - HW'!$D5,'Rozpočet - HW a licencie'!$D$3:$D$105,'TCO TO BE - HW'!$B$5)+SUMIFS('Rozpočet - HW a licencie'!$I$3:$I$105,'Rozpočet - HW a licencie'!$A$3:$A$105,'TCO TO BE - HW'!O$2,'Rozpočet - HW a licencie'!$C$3:$C$105,"SW pre HW",'Rozpočet - HW a licencie'!$G$3:$G$105,'TCO TO BE - HW'!$D5,'Rozpočet - HW a licencie'!$D$3:$D$105,'TCO TO BE - HW'!$B$5),)</f>
        <v>0</v>
      </c>
      <c r="P5" s="577">
        <f>IFERROR(SUMIFS('Rozpočet - HW a licencie'!$I$3:$I$105,'Rozpočet - HW a licencie'!$A$3:$A$105,'TCO TO BE - HW'!P$2,'Rozpočet - HW a licencie'!$C$3:$C$105,"HW",'Rozpočet - HW a licencie'!$G$3:$G$105,'TCO TO BE - HW'!$D5,'Rozpočet - HW a licencie'!$D$3:$D$105,'TCO TO BE - HW'!$B$5)+SUMIFS('Rozpočet - HW a licencie'!$I$3:$I$105,'Rozpočet - HW a licencie'!$A$3:$A$105,'TCO TO BE - HW'!P$2,'Rozpočet - HW a licencie'!$C$3:$C$105,"SW pre HW",'Rozpočet - HW a licencie'!$G$3:$G$105,'TCO TO BE - HW'!$D5,'Rozpočet - HW a licencie'!$D$3:$D$105,'TCO TO BE - HW'!$B$5),)</f>
        <v>0</v>
      </c>
      <c r="Q5" s="577">
        <f>IFERROR(SUMIFS('Rozpočet - HW a licencie'!$I$3:$I$105,'Rozpočet - HW a licencie'!$A$3:$A$105,'TCO TO BE - HW'!Q$2,'Rozpočet - HW a licencie'!$C$3:$C$105,"HW",'Rozpočet - HW a licencie'!$G$3:$G$105,'TCO TO BE - HW'!$D5,'Rozpočet - HW a licencie'!$D$3:$D$105,'TCO TO BE - HW'!$B$5)+SUMIFS('Rozpočet - HW a licencie'!$I$3:$I$105,'Rozpočet - HW a licencie'!$A$3:$A$105,'TCO TO BE - HW'!Q$2,'Rozpočet - HW a licencie'!$C$3:$C$105,"SW pre HW",'Rozpočet - HW a licencie'!$G$3:$G$105,'TCO TO BE - HW'!$D5,'Rozpočet - HW a licencie'!$D$3:$D$105,'TCO TO BE - HW'!$B$5),)</f>
        <v>0</v>
      </c>
      <c r="R5" s="577">
        <f>IFERROR(SUMIFS('Rozpočet - HW a licencie'!$I$3:$I$105,'Rozpočet - HW a licencie'!$A$3:$A$105,'TCO TO BE - HW'!R$2,'Rozpočet - HW a licencie'!$C$3:$C$105,"HW",'Rozpočet - HW a licencie'!$G$3:$G$105,'TCO TO BE - HW'!$D5,'Rozpočet - HW a licencie'!$D$3:$D$105,'TCO TO BE - HW'!$B$5)+SUMIFS('Rozpočet - HW a licencie'!$I$3:$I$105,'Rozpočet - HW a licencie'!$A$3:$A$105,'TCO TO BE - HW'!R$2,'Rozpočet - HW a licencie'!$C$3:$C$105,"SW pre HW",'Rozpočet - HW a licencie'!$G$3:$G$105,'TCO TO BE - HW'!$D5,'Rozpočet - HW a licencie'!$D$3:$D$105,'TCO TO BE - HW'!$B$5),)</f>
        <v>0</v>
      </c>
      <c r="S5" s="577">
        <f>IFERROR(SUMIFS('Rozpočet - HW a licencie'!$I$3:$I$105,'Rozpočet - HW a licencie'!$A$3:$A$105,'TCO TO BE - HW'!S$2,'Rozpočet - HW a licencie'!$C$3:$C$105,"HW",'Rozpočet - HW a licencie'!$G$3:$G$105,'TCO TO BE - HW'!$D5,'Rozpočet - HW a licencie'!$D$3:$D$105,'TCO TO BE - HW'!$B$5)+SUMIFS('Rozpočet - HW a licencie'!$I$3:$I$105,'Rozpočet - HW a licencie'!$A$3:$A$105,'TCO TO BE - HW'!S$2,'Rozpočet - HW a licencie'!$C$3:$C$105,"SW pre HW",'Rozpočet - HW a licencie'!$G$3:$G$105,'TCO TO BE - HW'!$D5,'Rozpočet - HW a licencie'!$D$3:$D$105,'TCO TO BE - HW'!$B$5),)</f>
        <v>0</v>
      </c>
      <c r="T5" s="577">
        <f>IFERROR(SUMIFS('Rozpočet - HW a licencie'!$I$3:$I$105,'Rozpočet - HW a licencie'!$A$3:$A$105,'TCO TO BE - HW'!T$2,'Rozpočet - HW a licencie'!$C$3:$C$105,"HW",'Rozpočet - HW a licencie'!$G$3:$G$105,'TCO TO BE - HW'!$D5,'Rozpočet - HW a licencie'!$D$3:$D$105,'TCO TO BE - HW'!$B$5)+SUMIFS('Rozpočet - HW a licencie'!$I$3:$I$105,'Rozpočet - HW a licencie'!$A$3:$A$105,'TCO TO BE - HW'!T$2,'Rozpočet - HW a licencie'!$C$3:$C$105,"SW pre HW",'Rozpočet - HW a licencie'!$G$3:$G$105,'TCO TO BE - HW'!$D5,'Rozpočet - HW a licencie'!$D$3:$D$105,'TCO TO BE - HW'!$B$5),)</f>
        <v>0</v>
      </c>
      <c r="U5" s="577">
        <f>IFERROR(SUMIFS('Rozpočet - HW a licencie'!$I$3:$I$105,'Rozpočet - HW a licencie'!$A$3:$A$105,'TCO TO BE - HW'!U$2,'Rozpočet - HW a licencie'!$C$3:$C$105,"HW",'Rozpočet - HW a licencie'!$G$3:$G$105,'TCO TO BE - HW'!$D5,'Rozpočet - HW a licencie'!$D$3:$D$105,'TCO TO BE - HW'!$B$5)+SUMIFS('Rozpočet - HW a licencie'!$I$3:$I$105,'Rozpočet - HW a licencie'!$A$3:$A$105,'TCO TO BE - HW'!U$2,'Rozpočet - HW a licencie'!$C$3:$C$105,"SW pre HW",'Rozpočet - HW a licencie'!$G$3:$G$105,'TCO TO BE - HW'!$D5,'Rozpočet - HW a licencie'!$D$3:$D$105,'TCO TO BE - HW'!$B$5),)</f>
        <v>0</v>
      </c>
      <c r="V5" s="577">
        <f>IFERROR(SUMIFS('Rozpočet - HW a licencie'!$I$3:$I$105,'Rozpočet - HW a licencie'!$A$3:$A$105,'TCO TO BE - HW'!V$2,'Rozpočet - HW a licencie'!$C$3:$C$105,"HW",'Rozpočet - HW a licencie'!$G$3:$G$105,'TCO TO BE - HW'!$D5,'Rozpočet - HW a licencie'!$D$3:$D$105,'TCO TO BE - HW'!$B$5)+SUMIFS('Rozpočet - HW a licencie'!$I$3:$I$105,'Rozpočet - HW a licencie'!$A$3:$A$105,'TCO TO BE - HW'!V$2,'Rozpočet - HW a licencie'!$C$3:$C$105,"SW pre HW",'Rozpočet - HW a licencie'!$G$3:$G$105,'TCO TO BE - HW'!$D5,'Rozpočet - HW a licencie'!$D$3:$D$105,'TCO TO BE - HW'!$B$5),)</f>
        <v>0</v>
      </c>
      <c r="W5" s="577">
        <f>IFERROR(SUMIFS('Rozpočet - HW a licencie'!$I$3:$I$105,'Rozpočet - HW a licencie'!$A$3:$A$105,'TCO TO BE - HW'!W$2,'Rozpočet - HW a licencie'!$C$3:$C$105,"HW",'Rozpočet - HW a licencie'!$G$3:$G$105,'TCO TO BE - HW'!$D5,'Rozpočet - HW a licencie'!$D$3:$D$105,'TCO TO BE - HW'!$B$5)+SUMIFS('Rozpočet - HW a licencie'!$I$3:$I$105,'Rozpočet - HW a licencie'!$A$3:$A$105,'TCO TO BE - HW'!W$2,'Rozpočet - HW a licencie'!$C$3:$C$105,"SW pre HW",'Rozpočet - HW a licencie'!$G$3:$G$105,'TCO TO BE - HW'!$D5,'Rozpočet - HW a licencie'!$D$3:$D$105,'TCO TO BE - HW'!$B$5),)</f>
        <v>0</v>
      </c>
      <c r="X5" s="577">
        <f>IFERROR(SUMIFS('Rozpočet - HW a licencie'!$I$3:$I$105,'Rozpočet - HW a licencie'!$A$3:$A$105,'TCO TO BE - HW'!X$2,'Rozpočet - HW a licencie'!$C$3:$C$105,"HW",'Rozpočet - HW a licencie'!$G$3:$G$105,'TCO TO BE - HW'!$D5,'Rozpočet - HW a licencie'!$D$3:$D$105,'TCO TO BE - HW'!$B$5)+SUMIFS('Rozpočet - HW a licencie'!$I$3:$I$105,'Rozpočet - HW a licencie'!$A$3:$A$105,'TCO TO BE - HW'!X$2,'Rozpočet - HW a licencie'!$C$3:$C$105,"SW pre HW",'Rozpočet - HW a licencie'!$G$3:$G$105,'TCO TO BE - HW'!$D5,'Rozpočet - HW a licencie'!$D$3:$D$105,'TCO TO BE - HW'!$B$5),)</f>
        <v>0</v>
      </c>
      <c r="Y5" s="577">
        <f>IFERROR(SUMIFS('Rozpočet - HW a licencie'!$I$3:$I$105,'Rozpočet - HW a licencie'!$A$3:$A$105,'TCO TO BE - HW'!Y$2,'Rozpočet - HW a licencie'!$C$3:$C$105,"HW",'Rozpočet - HW a licencie'!$G$3:$G$105,'TCO TO BE - HW'!$D5,'Rozpočet - HW a licencie'!$D$3:$D$105,'TCO TO BE - HW'!$B$5)+SUMIFS('Rozpočet - HW a licencie'!$I$3:$I$105,'Rozpočet - HW a licencie'!$A$3:$A$105,'TCO TO BE - HW'!Y$2,'Rozpočet - HW a licencie'!$C$3:$C$105,"SW pre HW",'Rozpočet - HW a licencie'!$G$3:$G$105,'TCO TO BE - HW'!$D5,'Rozpočet - HW a licencie'!$D$3:$D$105,'TCO TO BE - HW'!$B$5),)</f>
        <v>0</v>
      </c>
      <c r="Z5" s="577">
        <f>IFERROR(SUMIFS('Rozpočet - HW a licencie'!$I$3:$I$105,'Rozpočet - HW a licencie'!$A$3:$A$105,'TCO TO BE - HW'!Z$2,'Rozpočet - HW a licencie'!$C$3:$C$105,"HW",'Rozpočet - HW a licencie'!$G$3:$G$105,'TCO TO BE - HW'!$D5,'Rozpočet - HW a licencie'!$D$3:$D$105,'TCO TO BE - HW'!$B$5)+SUMIFS('Rozpočet - HW a licencie'!$I$3:$I$105,'Rozpočet - HW a licencie'!$A$3:$A$105,'TCO TO BE - HW'!Z$2,'Rozpočet - HW a licencie'!$C$3:$C$105,"SW pre HW",'Rozpočet - HW a licencie'!$G$3:$G$105,'TCO TO BE - HW'!$D5,'Rozpočet - HW a licencie'!$D$3:$D$105,'TCO TO BE - HW'!$B$5),)</f>
        <v>0</v>
      </c>
    </row>
    <row r="6" spans="1:26" outlineLevel="1">
      <c r="A6" s="824"/>
      <c r="B6" s="825"/>
      <c r="C6" s="825"/>
      <c r="D6" s="498">
        <v>2</v>
      </c>
      <c r="E6" s="68">
        <f t="shared" si="2"/>
        <v>0</v>
      </c>
      <c r="F6" s="577">
        <f>IFERROR(SUMIFS('Rozpočet - HW a licencie'!$I$3:$I$105,'Rozpočet - HW a licencie'!$A$3:$A$105,'TCO TO BE - HW'!F$2,'Rozpočet - HW a licencie'!$C$3:$C$105,"HW",'Rozpočet - HW a licencie'!$G$3:$G$105,'TCO TO BE - HW'!$D6,'Rozpočet - HW a licencie'!$D$3:$D$105,'TCO TO BE - HW'!$B$5)+SUMIFS('Rozpočet - HW a licencie'!$I$3:$I$105,'Rozpočet - HW a licencie'!$A$3:$A$105,'TCO TO BE - HW'!F$2,'Rozpočet - HW a licencie'!$C$3:$C$105,"SW pre HW",'Rozpočet - HW a licencie'!$G$3:$G$105,'TCO TO BE - HW'!$D6,'Rozpočet - HW a licencie'!$D$3:$D$105,'TCO TO BE - HW'!$B$5),)</f>
        <v>0</v>
      </c>
      <c r="G6" s="577">
        <f>IFERROR(SUMIFS('Rozpočet - HW a licencie'!$I$3:$I$105,'Rozpočet - HW a licencie'!$A$3:$A$105,'TCO TO BE - HW'!G$2,'Rozpočet - HW a licencie'!$C$3:$C$105,"HW",'Rozpočet - HW a licencie'!$G$3:$G$105,'TCO TO BE - HW'!$D6,'Rozpočet - HW a licencie'!$D$3:$D$105,'TCO TO BE - HW'!$B$5)+SUMIFS('Rozpočet - HW a licencie'!$I$3:$I$105,'Rozpočet - HW a licencie'!$A$3:$A$105,'TCO TO BE - HW'!G$2,'Rozpočet - HW a licencie'!$C$3:$C$105,"SW pre HW",'Rozpočet - HW a licencie'!$G$3:$G$105,'TCO TO BE - HW'!$D6,'Rozpočet - HW a licencie'!$D$3:$D$105,'TCO TO BE - HW'!$B$5),)</f>
        <v>0</v>
      </c>
      <c r="H6" s="577">
        <f>IFERROR(SUMIFS('Rozpočet - HW a licencie'!$I$3:$I$105,'Rozpočet - HW a licencie'!$A$3:$A$105,'TCO TO BE - HW'!H$2,'Rozpočet - HW a licencie'!$C$3:$C$105,"HW",'Rozpočet - HW a licencie'!$G$3:$G$105,'TCO TO BE - HW'!$D6,'Rozpočet - HW a licencie'!$D$3:$D$105,'TCO TO BE - HW'!$B$5)+SUMIFS('Rozpočet - HW a licencie'!$I$3:$I$105,'Rozpočet - HW a licencie'!$A$3:$A$105,'TCO TO BE - HW'!H$2,'Rozpočet - HW a licencie'!$C$3:$C$105,"SW pre HW",'Rozpočet - HW a licencie'!$G$3:$G$105,'TCO TO BE - HW'!$D6,'Rozpočet - HW a licencie'!$D$3:$D$105,'TCO TO BE - HW'!$B$5),)</f>
        <v>0</v>
      </c>
      <c r="I6" s="577">
        <f>IFERROR(SUMIFS('Rozpočet - HW a licencie'!$I$3:$I$105,'Rozpočet - HW a licencie'!$A$3:$A$105,'TCO TO BE - HW'!I$2,'Rozpočet - HW a licencie'!$C$3:$C$105,"HW",'Rozpočet - HW a licencie'!$G$3:$G$105,'TCO TO BE - HW'!$D6,'Rozpočet - HW a licencie'!$D$3:$D$105,'TCO TO BE - HW'!$B$5)+SUMIFS('Rozpočet - HW a licencie'!$I$3:$I$105,'Rozpočet - HW a licencie'!$A$3:$A$105,'TCO TO BE - HW'!I$2,'Rozpočet - HW a licencie'!$C$3:$C$105,"SW pre HW",'Rozpočet - HW a licencie'!$G$3:$G$105,'TCO TO BE - HW'!$D6,'Rozpočet - HW a licencie'!$D$3:$D$105,'TCO TO BE - HW'!$B$5),)</f>
        <v>0</v>
      </c>
      <c r="J6" s="577">
        <f>IFERROR(SUMIFS('Rozpočet - HW a licencie'!$I$3:$I$105,'Rozpočet - HW a licencie'!$A$3:$A$105,'TCO TO BE - HW'!J$2,'Rozpočet - HW a licencie'!$C$3:$C$105,"HW",'Rozpočet - HW a licencie'!$G$3:$G$105,'TCO TO BE - HW'!$D6,'Rozpočet - HW a licencie'!$D$3:$D$105,'TCO TO BE - HW'!$B$5)+SUMIFS('Rozpočet - HW a licencie'!$I$3:$I$105,'Rozpočet - HW a licencie'!$A$3:$A$105,'TCO TO BE - HW'!J$2,'Rozpočet - HW a licencie'!$C$3:$C$105,"SW pre HW",'Rozpočet - HW a licencie'!$G$3:$G$105,'TCO TO BE - HW'!$D6,'Rozpočet - HW a licencie'!$D$3:$D$105,'TCO TO BE - HW'!$B$5),)</f>
        <v>0</v>
      </c>
      <c r="K6" s="577">
        <f>IFERROR(SUMIFS('Rozpočet - HW a licencie'!$I$3:$I$105,'Rozpočet - HW a licencie'!$A$3:$A$105,'TCO TO BE - HW'!K$2,'Rozpočet - HW a licencie'!$C$3:$C$105,"HW",'Rozpočet - HW a licencie'!$G$3:$G$105,'TCO TO BE - HW'!$D6,'Rozpočet - HW a licencie'!$D$3:$D$105,'TCO TO BE - HW'!$B$5)+SUMIFS('Rozpočet - HW a licencie'!$I$3:$I$105,'Rozpočet - HW a licencie'!$A$3:$A$105,'TCO TO BE - HW'!K$2,'Rozpočet - HW a licencie'!$C$3:$C$105,"SW pre HW",'Rozpočet - HW a licencie'!$G$3:$G$105,'TCO TO BE - HW'!$D6,'Rozpočet - HW a licencie'!$D$3:$D$105,'TCO TO BE - HW'!$B$5),)</f>
        <v>0</v>
      </c>
      <c r="L6" s="577">
        <f>IFERROR(SUMIFS('Rozpočet - HW a licencie'!$I$3:$I$105,'Rozpočet - HW a licencie'!$A$3:$A$105,'TCO TO BE - HW'!L$2,'Rozpočet - HW a licencie'!$C$3:$C$105,"HW",'Rozpočet - HW a licencie'!$G$3:$G$105,'TCO TO BE - HW'!$D6,'Rozpočet - HW a licencie'!$D$3:$D$105,'TCO TO BE - HW'!$B$5)+SUMIFS('Rozpočet - HW a licencie'!$I$3:$I$105,'Rozpočet - HW a licencie'!$A$3:$A$105,'TCO TO BE - HW'!L$2,'Rozpočet - HW a licencie'!$C$3:$C$105,"SW pre HW",'Rozpočet - HW a licencie'!$G$3:$G$105,'TCO TO BE - HW'!$D6,'Rozpočet - HW a licencie'!$D$3:$D$105,'TCO TO BE - HW'!$B$5),)</f>
        <v>0</v>
      </c>
      <c r="M6" s="577">
        <f>IFERROR(SUMIFS('Rozpočet - HW a licencie'!$I$3:$I$105,'Rozpočet - HW a licencie'!$A$3:$A$105,'TCO TO BE - HW'!M$2,'Rozpočet - HW a licencie'!$C$3:$C$105,"HW",'Rozpočet - HW a licencie'!$G$3:$G$105,'TCO TO BE - HW'!$D6,'Rozpočet - HW a licencie'!$D$3:$D$105,'TCO TO BE - HW'!$B$5)+SUMIFS('Rozpočet - HW a licencie'!$I$3:$I$105,'Rozpočet - HW a licencie'!$A$3:$A$105,'TCO TO BE - HW'!M$2,'Rozpočet - HW a licencie'!$C$3:$C$105,"SW pre HW",'Rozpočet - HW a licencie'!$G$3:$G$105,'TCO TO BE - HW'!$D6,'Rozpočet - HW a licencie'!$D$3:$D$105,'TCO TO BE - HW'!$B$5),)</f>
        <v>0</v>
      </c>
      <c r="N6" s="577">
        <f>IFERROR(SUMIFS('Rozpočet - HW a licencie'!$I$3:$I$105,'Rozpočet - HW a licencie'!$A$3:$A$105,'TCO TO BE - HW'!N$2,'Rozpočet - HW a licencie'!$C$3:$C$105,"HW",'Rozpočet - HW a licencie'!$G$3:$G$105,'TCO TO BE - HW'!$D6,'Rozpočet - HW a licencie'!$D$3:$D$105,'TCO TO BE - HW'!$B$5)+SUMIFS('Rozpočet - HW a licencie'!$I$3:$I$105,'Rozpočet - HW a licencie'!$A$3:$A$105,'TCO TO BE - HW'!N$2,'Rozpočet - HW a licencie'!$C$3:$C$105,"SW pre HW",'Rozpočet - HW a licencie'!$G$3:$G$105,'TCO TO BE - HW'!$D6,'Rozpočet - HW a licencie'!$D$3:$D$105,'TCO TO BE - HW'!$B$5),)</f>
        <v>0</v>
      </c>
      <c r="O6" s="577">
        <f>IFERROR(SUMIFS('Rozpočet - HW a licencie'!$I$3:$I$105,'Rozpočet - HW a licencie'!$A$3:$A$105,'TCO TO BE - HW'!O$2,'Rozpočet - HW a licencie'!$C$3:$C$105,"HW",'Rozpočet - HW a licencie'!$G$3:$G$105,'TCO TO BE - HW'!$D6,'Rozpočet - HW a licencie'!$D$3:$D$105,'TCO TO BE - HW'!$B$5)+SUMIFS('Rozpočet - HW a licencie'!$I$3:$I$105,'Rozpočet - HW a licencie'!$A$3:$A$105,'TCO TO BE - HW'!O$2,'Rozpočet - HW a licencie'!$C$3:$C$105,"SW pre HW",'Rozpočet - HW a licencie'!$G$3:$G$105,'TCO TO BE - HW'!$D6,'Rozpočet - HW a licencie'!$D$3:$D$105,'TCO TO BE - HW'!$B$5),)</f>
        <v>0</v>
      </c>
      <c r="P6" s="577">
        <f>IFERROR(SUMIFS('Rozpočet - HW a licencie'!$I$3:$I$105,'Rozpočet - HW a licencie'!$A$3:$A$105,'TCO TO BE - HW'!P$2,'Rozpočet - HW a licencie'!$C$3:$C$105,"HW",'Rozpočet - HW a licencie'!$G$3:$G$105,'TCO TO BE - HW'!$D6,'Rozpočet - HW a licencie'!$D$3:$D$105,'TCO TO BE - HW'!$B$5)+SUMIFS('Rozpočet - HW a licencie'!$I$3:$I$105,'Rozpočet - HW a licencie'!$A$3:$A$105,'TCO TO BE - HW'!P$2,'Rozpočet - HW a licencie'!$C$3:$C$105,"SW pre HW",'Rozpočet - HW a licencie'!$G$3:$G$105,'TCO TO BE - HW'!$D6,'Rozpočet - HW a licencie'!$D$3:$D$105,'TCO TO BE - HW'!$B$5),)</f>
        <v>0</v>
      </c>
      <c r="Q6" s="577">
        <f>IFERROR(SUMIFS('Rozpočet - HW a licencie'!$I$3:$I$105,'Rozpočet - HW a licencie'!$A$3:$A$105,'TCO TO BE - HW'!Q$2,'Rozpočet - HW a licencie'!$C$3:$C$105,"HW",'Rozpočet - HW a licencie'!$G$3:$G$105,'TCO TO BE - HW'!$D6,'Rozpočet - HW a licencie'!$D$3:$D$105,'TCO TO BE - HW'!$B$5)+SUMIFS('Rozpočet - HW a licencie'!$I$3:$I$105,'Rozpočet - HW a licencie'!$A$3:$A$105,'TCO TO BE - HW'!Q$2,'Rozpočet - HW a licencie'!$C$3:$C$105,"SW pre HW",'Rozpočet - HW a licencie'!$G$3:$G$105,'TCO TO BE - HW'!$D6,'Rozpočet - HW a licencie'!$D$3:$D$105,'TCO TO BE - HW'!$B$5),)</f>
        <v>0</v>
      </c>
      <c r="R6" s="577">
        <f>IFERROR(SUMIFS('Rozpočet - HW a licencie'!$I$3:$I$105,'Rozpočet - HW a licencie'!$A$3:$A$105,'TCO TO BE - HW'!R$2,'Rozpočet - HW a licencie'!$C$3:$C$105,"HW",'Rozpočet - HW a licencie'!$G$3:$G$105,'TCO TO BE - HW'!$D6,'Rozpočet - HW a licencie'!$D$3:$D$105,'TCO TO BE - HW'!$B$5)+SUMIFS('Rozpočet - HW a licencie'!$I$3:$I$105,'Rozpočet - HW a licencie'!$A$3:$A$105,'TCO TO BE - HW'!R$2,'Rozpočet - HW a licencie'!$C$3:$C$105,"SW pre HW",'Rozpočet - HW a licencie'!$G$3:$G$105,'TCO TO BE - HW'!$D6,'Rozpočet - HW a licencie'!$D$3:$D$105,'TCO TO BE - HW'!$B$5),)</f>
        <v>0</v>
      </c>
      <c r="S6" s="577">
        <f>IFERROR(SUMIFS('Rozpočet - HW a licencie'!$I$3:$I$105,'Rozpočet - HW a licencie'!$A$3:$A$105,'TCO TO BE - HW'!S$2,'Rozpočet - HW a licencie'!$C$3:$C$105,"HW",'Rozpočet - HW a licencie'!$G$3:$G$105,'TCO TO BE - HW'!$D6,'Rozpočet - HW a licencie'!$D$3:$D$105,'TCO TO BE - HW'!$B$5)+SUMIFS('Rozpočet - HW a licencie'!$I$3:$I$105,'Rozpočet - HW a licencie'!$A$3:$A$105,'TCO TO BE - HW'!S$2,'Rozpočet - HW a licencie'!$C$3:$C$105,"SW pre HW",'Rozpočet - HW a licencie'!$G$3:$G$105,'TCO TO BE - HW'!$D6,'Rozpočet - HW a licencie'!$D$3:$D$105,'TCO TO BE - HW'!$B$5),)</f>
        <v>0</v>
      </c>
      <c r="T6" s="577">
        <f>IFERROR(SUMIFS('Rozpočet - HW a licencie'!$I$3:$I$105,'Rozpočet - HW a licencie'!$A$3:$A$105,'TCO TO BE - HW'!T$2,'Rozpočet - HW a licencie'!$C$3:$C$105,"HW",'Rozpočet - HW a licencie'!$G$3:$G$105,'TCO TO BE - HW'!$D6,'Rozpočet - HW a licencie'!$D$3:$D$105,'TCO TO BE - HW'!$B$5)+SUMIFS('Rozpočet - HW a licencie'!$I$3:$I$105,'Rozpočet - HW a licencie'!$A$3:$A$105,'TCO TO BE - HW'!T$2,'Rozpočet - HW a licencie'!$C$3:$C$105,"SW pre HW",'Rozpočet - HW a licencie'!$G$3:$G$105,'TCO TO BE - HW'!$D6,'Rozpočet - HW a licencie'!$D$3:$D$105,'TCO TO BE - HW'!$B$5),)</f>
        <v>0</v>
      </c>
      <c r="U6" s="577">
        <f>IFERROR(SUMIFS('Rozpočet - HW a licencie'!$I$3:$I$105,'Rozpočet - HW a licencie'!$A$3:$A$105,'TCO TO BE - HW'!U$2,'Rozpočet - HW a licencie'!$C$3:$C$105,"HW",'Rozpočet - HW a licencie'!$G$3:$G$105,'TCO TO BE - HW'!$D6,'Rozpočet - HW a licencie'!$D$3:$D$105,'TCO TO BE - HW'!$B$5)+SUMIFS('Rozpočet - HW a licencie'!$I$3:$I$105,'Rozpočet - HW a licencie'!$A$3:$A$105,'TCO TO BE - HW'!U$2,'Rozpočet - HW a licencie'!$C$3:$C$105,"SW pre HW",'Rozpočet - HW a licencie'!$G$3:$G$105,'TCO TO BE - HW'!$D6,'Rozpočet - HW a licencie'!$D$3:$D$105,'TCO TO BE - HW'!$B$5),)</f>
        <v>0</v>
      </c>
      <c r="V6" s="577">
        <f>IFERROR(SUMIFS('Rozpočet - HW a licencie'!$I$3:$I$105,'Rozpočet - HW a licencie'!$A$3:$A$105,'TCO TO BE - HW'!V$2,'Rozpočet - HW a licencie'!$C$3:$C$105,"HW",'Rozpočet - HW a licencie'!$G$3:$G$105,'TCO TO BE - HW'!$D6,'Rozpočet - HW a licencie'!$D$3:$D$105,'TCO TO BE - HW'!$B$5)+SUMIFS('Rozpočet - HW a licencie'!$I$3:$I$105,'Rozpočet - HW a licencie'!$A$3:$A$105,'TCO TO BE - HW'!V$2,'Rozpočet - HW a licencie'!$C$3:$C$105,"SW pre HW",'Rozpočet - HW a licencie'!$G$3:$G$105,'TCO TO BE - HW'!$D6,'Rozpočet - HW a licencie'!$D$3:$D$105,'TCO TO BE - HW'!$B$5),)</f>
        <v>0</v>
      </c>
      <c r="W6" s="577">
        <f>IFERROR(SUMIFS('Rozpočet - HW a licencie'!$I$3:$I$105,'Rozpočet - HW a licencie'!$A$3:$A$105,'TCO TO BE - HW'!W$2,'Rozpočet - HW a licencie'!$C$3:$C$105,"HW",'Rozpočet - HW a licencie'!$G$3:$G$105,'TCO TO BE - HW'!$D6,'Rozpočet - HW a licencie'!$D$3:$D$105,'TCO TO BE - HW'!$B$5)+SUMIFS('Rozpočet - HW a licencie'!$I$3:$I$105,'Rozpočet - HW a licencie'!$A$3:$A$105,'TCO TO BE - HW'!W$2,'Rozpočet - HW a licencie'!$C$3:$C$105,"SW pre HW",'Rozpočet - HW a licencie'!$G$3:$G$105,'TCO TO BE - HW'!$D6,'Rozpočet - HW a licencie'!$D$3:$D$105,'TCO TO BE - HW'!$B$5),)</f>
        <v>0</v>
      </c>
      <c r="X6" s="577">
        <f>IFERROR(SUMIFS('Rozpočet - HW a licencie'!$I$3:$I$105,'Rozpočet - HW a licencie'!$A$3:$A$105,'TCO TO BE - HW'!X$2,'Rozpočet - HW a licencie'!$C$3:$C$105,"HW",'Rozpočet - HW a licencie'!$G$3:$G$105,'TCO TO BE - HW'!$D6,'Rozpočet - HW a licencie'!$D$3:$D$105,'TCO TO BE - HW'!$B$5)+SUMIFS('Rozpočet - HW a licencie'!$I$3:$I$105,'Rozpočet - HW a licencie'!$A$3:$A$105,'TCO TO BE - HW'!X$2,'Rozpočet - HW a licencie'!$C$3:$C$105,"SW pre HW",'Rozpočet - HW a licencie'!$G$3:$G$105,'TCO TO BE - HW'!$D6,'Rozpočet - HW a licencie'!$D$3:$D$105,'TCO TO BE - HW'!$B$5),)</f>
        <v>0</v>
      </c>
      <c r="Y6" s="577">
        <f>IFERROR(SUMIFS('Rozpočet - HW a licencie'!$I$3:$I$105,'Rozpočet - HW a licencie'!$A$3:$A$105,'TCO TO BE - HW'!Y$2,'Rozpočet - HW a licencie'!$C$3:$C$105,"HW",'Rozpočet - HW a licencie'!$G$3:$G$105,'TCO TO BE - HW'!$D6,'Rozpočet - HW a licencie'!$D$3:$D$105,'TCO TO BE - HW'!$B$5)+SUMIFS('Rozpočet - HW a licencie'!$I$3:$I$105,'Rozpočet - HW a licencie'!$A$3:$A$105,'TCO TO BE - HW'!Y$2,'Rozpočet - HW a licencie'!$C$3:$C$105,"SW pre HW",'Rozpočet - HW a licencie'!$G$3:$G$105,'TCO TO BE - HW'!$D6,'Rozpočet - HW a licencie'!$D$3:$D$105,'TCO TO BE - HW'!$B$5),)</f>
        <v>0</v>
      </c>
      <c r="Z6" s="577">
        <f>IFERROR(SUMIFS('Rozpočet - HW a licencie'!$I$3:$I$105,'Rozpočet - HW a licencie'!$A$3:$A$105,'TCO TO BE - HW'!Z$2,'Rozpočet - HW a licencie'!$C$3:$C$105,"HW",'Rozpočet - HW a licencie'!$G$3:$G$105,'TCO TO BE - HW'!$D6,'Rozpočet - HW a licencie'!$D$3:$D$105,'TCO TO BE - HW'!$B$5)+SUMIFS('Rozpočet - HW a licencie'!$I$3:$I$105,'Rozpočet - HW a licencie'!$A$3:$A$105,'TCO TO BE - HW'!Z$2,'Rozpočet - HW a licencie'!$C$3:$C$105,"SW pre HW",'Rozpočet - HW a licencie'!$G$3:$G$105,'TCO TO BE - HW'!$D6,'Rozpočet - HW a licencie'!$D$3:$D$105,'TCO TO BE - HW'!$B$5),)</f>
        <v>0</v>
      </c>
    </row>
    <row r="7" spans="1:26" outlineLevel="1">
      <c r="A7" s="824"/>
      <c r="B7" s="825"/>
      <c r="C7" s="825"/>
      <c r="D7" s="498">
        <v>3</v>
      </c>
      <c r="E7" s="68">
        <f t="shared" si="2"/>
        <v>0</v>
      </c>
      <c r="F7" s="577">
        <f>IFERROR(SUMIFS('Rozpočet - HW a licencie'!$I$3:$I$105,'Rozpočet - HW a licencie'!$A$3:$A$105,'TCO TO BE - HW'!F$2,'Rozpočet - HW a licencie'!$C$3:$C$105,"HW",'Rozpočet - HW a licencie'!$G$3:$G$105,'TCO TO BE - HW'!$D7,'Rozpočet - HW a licencie'!$D$3:$D$105,'TCO TO BE - HW'!$B$5)+SUMIFS('Rozpočet - HW a licencie'!$I$3:$I$105,'Rozpočet - HW a licencie'!$A$3:$A$105,'TCO TO BE - HW'!F$2,'Rozpočet - HW a licencie'!$C$3:$C$105,"SW pre HW",'Rozpočet - HW a licencie'!$G$3:$G$105,'TCO TO BE - HW'!$D7,'Rozpočet - HW a licencie'!$D$3:$D$105,'TCO TO BE - HW'!$B$5),)</f>
        <v>0</v>
      </c>
      <c r="G7" s="577">
        <f>IFERROR(SUMIFS('Rozpočet - HW a licencie'!$I$3:$I$105,'Rozpočet - HW a licencie'!$A$3:$A$105,'TCO TO BE - HW'!G$2,'Rozpočet - HW a licencie'!$C$3:$C$105,"HW",'Rozpočet - HW a licencie'!$G$3:$G$105,'TCO TO BE - HW'!$D7,'Rozpočet - HW a licencie'!$D$3:$D$105,'TCO TO BE - HW'!$B$5)+SUMIFS('Rozpočet - HW a licencie'!$I$3:$I$105,'Rozpočet - HW a licencie'!$A$3:$A$105,'TCO TO BE - HW'!G$2,'Rozpočet - HW a licencie'!$C$3:$C$105,"SW pre HW",'Rozpočet - HW a licencie'!$G$3:$G$105,'TCO TO BE - HW'!$D7,'Rozpočet - HW a licencie'!$D$3:$D$105,'TCO TO BE - HW'!$B$5),)</f>
        <v>0</v>
      </c>
      <c r="H7" s="577">
        <f>IFERROR(SUMIFS('Rozpočet - HW a licencie'!$I$3:$I$105,'Rozpočet - HW a licencie'!$A$3:$A$105,'TCO TO BE - HW'!H$2,'Rozpočet - HW a licencie'!$C$3:$C$105,"HW",'Rozpočet - HW a licencie'!$G$3:$G$105,'TCO TO BE - HW'!$D7,'Rozpočet - HW a licencie'!$D$3:$D$105,'TCO TO BE - HW'!$B$5)+SUMIFS('Rozpočet - HW a licencie'!$I$3:$I$105,'Rozpočet - HW a licencie'!$A$3:$A$105,'TCO TO BE - HW'!H$2,'Rozpočet - HW a licencie'!$C$3:$C$105,"SW pre HW",'Rozpočet - HW a licencie'!$G$3:$G$105,'TCO TO BE - HW'!$D7,'Rozpočet - HW a licencie'!$D$3:$D$105,'TCO TO BE - HW'!$B$5),)</f>
        <v>0</v>
      </c>
      <c r="I7" s="577">
        <f>IFERROR(SUMIFS('Rozpočet - HW a licencie'!$I$3:$I$105,'Rozpočet - HW a licencie'!$A$3:$A$105,'TCO TO BE - HW'!I$2,'Rozpočet - HW a licencie'!$C$3:$C$105,"HW",'Rozpočet - HW a licencie'!$G$3:$G$105,'TCO TO BE - HW'!$D7,'Rozpočet - HW a licencie'!$D$3:$D$105,'TCO TO BE - HW'!$B$5)+SUMIFS('Rozpočet - HW a licencie'!$I$3:$I$105,'Rozpočet - HW a licencie'!$A$3:$A$105,'TCO TO BE - HW'!I$2,'Rozpočet - HW a licencie'!$C$3:$C$105,"SW pre HW",'Rozpočet - HW a licencie'!$G$3:$G$105,'TCO TO BE - HW'!$D7,'Rozpočet - HW a licencie'!$D$3:$D$105,'TCO TO BE - HW'!$B$5),)</f>
        <v>0</v>
      </c>
      <c r="J7" s="577">
        <f>IFERROR(SUMIFS('Rozpočet - HW a licencie'!$I$3:$I$105,'Rozpočet - HW a licencie'!$A$3:$A$105,'TCO TO BE - HW'!J$2,'Rozpočet - HW a licencie'!$C$3:$C$105,"HW",'Rozpočet - HW a licencie'!$G$3:$G$105,'TCO TO BE - HW'!$D7,'Rozpočet - HW a licencie'!$D$3:$D$105,'TCO TO BE - HW'!$B$5)+SUMIFS('Rozpočet - HW a licencie'!$I$3:$I$105,'Rozpočet - HW a licencie'!$A$3:$A$105,'TCO TO BE - HW'!J$2,'Rozpočet - HW a licencie'!$C$3:$C$105,"SW pre HW",'Rozpočet - HW a licencie'!$G$3:$G$105,'TCO TO BE - HW'!$D7,'Rozpočet - HW a licencie'!$D$3:$D$105,'TCO TO BE - HW'!$B$5),)</f>
        <v>0</v>
      </c>
      <c r="K7" s="577">
        <f>IFERROR(SUMIFS('Rozpočet - HW a licencie'!$I$3:$I$105,'Rozpočet - HW a licencie'!$A$3:$A$105,'TCO TO BE - HW'!K$2,'Rozpočet - HW a licencie'!$C$3:$C$105,"HW",'Rozpočet - HW a licencie'!$G$3:$G$105,'TCO TO BE - HW'!$D7,'Rozpočet - HW a licencie'!$D$3:$D$105,'TCO TO BE - HW'!$B$5)+SUMIFS('Rozpočet - HW a licencie'!$I$3:$I$105,'Rozpočet - HW a licencie'!$A$3:$A$105,'TCO TO BE - HW'!K$2,'Rozpočet - HW a licencie'!$C$3:$C$105,"SW pre HW",'Rozpočet - HW a licencie'!$G$3:$G$105,'TCO TO BE - HW'!$D7,'Rozpočet - HW a licencie'!$D$3:$D$105,'TCO TO BE - HW'!$B$5),)</f>
        <v>0</v>
      </c>
      <c r="L7" s="577">
        <f>IFERROR(SUMIFS('Rozpočet - HW a licencie'!$I$3:$I$105,'Rozpočet - HW a licencie'!$A$3:$A$105,'TCO TO BE - HW'!L$2,'Rozpočet - HW a licencie'!$C$3:$C$105,"HW",'Rozpočet - HW a licencie'!$G$3:$G$105,'TCO TO BE - HW'!$D7,'Rozpočet - HW a licencie'!$D$3:$D$105,'TCO TO BE - HW'!$B$5)+SUMIFS('Rozpočet - HW a licencie'!$I$3:$I$105,'Rozpočet - HW a licencie'!$A$3:$A$105,'TCO TO BE - HW'!L$2,'Rozpočet - HW a licencie'!$C$3:$C$105,"SW pre HW",'Rozpočet - HW a licencie'!$G$3:$G$105,'TCO TO BE - HW'!$D7,'Rozpočet - HW a licencie'!$D$3:$D$105,'TCO TO BE - HW'!$B$5),)</f>
        <v>0</v>
      </c>
      <c r="M7" s="577">
        <f>IFERROR(SUMIFS('Rozpočet - HW a licencie'!$I$3:$I$105,'Rozpočet - HW a licencie'!$A$3:$A$105,'TCO TO BE - HW'!M$2,'Rozpočet - HW a licencie'!$C$3:$C$105,"HW",'Rozpočet - HW a licencie'!$G$3:$G$105,'TCO TO BE - HW'!$D7,'Rozpočet - HW a licencie'!$D$3:$D$105,'TCO TO BE - HW'!$B$5)+SUMIFS('Rozpočet - HW a licencie'!$I$3:$I$105,'Rozpočet - HW a licencie'!$A$3:$A$105,'TCO TO BE - HW'!M$2,'Rozpočet - HW a licencie'!$C$3:$C$105,"SW pre HW",'Rozpočet - HW a licencie'!$G$3:$G$105,'TCO TO BE - HW'!$D7,'Rozpočet - HW a licencie'!$D$3:$D$105,'TCO TO BE - HW'!$B$5),)</f>
        <v>0</v>
      </c>
      <c r="N7" s="577">
        <f>IFERROR(SUMIFS('Rozpočet - HW a licencie'!$I$3:$I$105,'Rozpočet - HW a licencie'!$A$3:$A$105,'TCO TO BE - HW'!N$2,'Rozpočet - HW a licencie'!$C$3:$C$105,"HW",'Rozpočet - HW a licencie'!$G$3:$G$105,'TCO TO BE - HW'!$D7,'Rozpočet - HW a licencie'!$D$3:$D$105,'TCO TO BE - HW'!$B$5)+SUMIFS('Rozpočet - HW a licencie'!$I$3:$I$105,'Rozpočet - HW a licencie'!$A$3:$A$105,'TCO TO BE - HW'!N$2,'Rozpočet - HW a licencie'!$C$3:$C$105,"SW pre HW",'Rozpočet - HW a licencie'!$G$3:$G$105,'TCO TO BE - HW'!$D7,'Rozpočet - HW a licencie'!$D$3:$D$105,'TCO TO BE - HW'!$B$5),)</f>
        <v>0</v>
      </c>
      <c r="O7" s="577">
        <f>IFERROR(SUMIFS('Rozpočet - HW a licencie'!$I$3:$I$105,'Rozpočet - HW a licencie'!$A$3:$A$105,'TCO TO BE - HW'!O$2,'Rozpočet - HW a licencie'!$C$3:$C$105,"HW",'Rozpočet - HW a licencie'!$G$3:$G$105,'TCO TO BE - HW'!$D7,'Rozpočet - HW a licencie'!$D$3:$D$105,'TCO TO BE - HW'!$B$5)+SUMIFS('Rozpočet - HW a licencie'!$I$3:$I$105,'Rozpočet - HW a licencie'!$A$3:$A$105,'TCO TO BE - HW'!O$2,'Rozpočet - HW a licencie'!$C$3:$C$105,"SW pre HW",'Rozpočet - HW a licencie'!$G$3:$G$105,'TCO TO BE - HW'!$D7,'Rozpočet - HW a licencie'!$D$3:$D$105,'TCO TO BE - HW'!$B$5),)</f>
        <v>0</v>
      </c>
      <c r="P7" s="577">
        <f>IFERROR(SUMIFS('Rozpočet - HW a licencie'!$I$3:$I$105,'Rozpočet - HW a licencie'!$A$3:$A$105,'TCO TO BE - HW'!P$2,'Rozpočet - HW a licencie'!$C$3:$C$105,"HW",'Rozpočet - HW a licencie'!$G$3:$G$105,'TCO TO BE - HW'!$D7,'Rozpočet - HW a licencie'!$D$3:$D$105,'TCO TO BE - HW'!$B$5)+SUMIFS('Rozpočet - HW a licencie'!$I$3:$I$105,'Rozpočet - HW a licencie'!$A$3:$A$105,'TCO TO BE - HW'!P$2,'Rozpočet - HW a licencie'!$C$3:$C$105,"SW pre HW",'Rozpočet - HW a licencie'!$G$3:$G$105,'TCO TO BE - HW'!$D7,'Rozpočet - HW a licencie'!$D$3:$D$105,'TCO TO BE - HW'!$B$5),)</f>
        <v>0</v>
      </c>
      <c r="Q7" s="577">
        <f>IFERROR(SUMIFS('Rozpočet - HW a licencie'!$I$3:$I$105,'Rozpočet - HW a licencie'!$A$3:$A$105,'TCO TO BE - HW'!Q$2,'Rozpočet - HW a licencie'!$C$3:$C$105,"HW",'Rozpočet - HW a licencie'!$G$3:$G$105,'TCO TO BE - HW'!$D7,'Rozpočet - HW a licencie'!$D$3:$D$105,'TCO TO BE - HW'!$B$5)+SUMIFS('Rozpočet - HW a licencie'!$I$3:$I$105,'Rozpočet - HW a licencie'!$A$3:$A$105,'TCO TO BE - HW'!Q$2,'Rozpočet - HW a licencie'!$C$3:$C$105,"SW pre HW",'Rozpočet - HW a licencie'!$G$3:$G$105,'TCO TO BE - HW'!$D7,'Rozpočet - HW a licencie'!$D$3:$D$105,'TCO TO BE - HW'!$B$5),)</f>
        <v>0</v>
      </c>
      <c r="R7" s="577">
        <f>IFERROR(SUMIFS('Rozpočet - HW a licencie'!$I$3:$I$105,'Rozpočet - HW a licencie'!$A$3:$A$105,'TCO TO BE - HW'!R$2,'Rozpočet - HW a licencie'!$C$3:$C$105,"HW",'Rozpočet - HW a licencie'!$G$3:$G$105,'TCO TO BE - HW'!$D7,'Rozpočet - HW a licencie'!$D$3:$D$105,'TCO TO BE - HW'!$B$5)+SUMIFS('Rozpočet - HW a licencie'!$I$3:$I$105,'Rozpočet - HW a licencie'!$A$3:$A$105,'TCO TO BE - HW'!R$2,'Rozpočet - HW a licencie'!$C$3:$C$105,"SW pre HW",'Rozpočet - HW a licencie'!$G$3:$G$105,'TCO TO BE - HW'!$D7,'Rozpočet - HW a licencie'!$D$3:$D$105,'TCO TO BE - HW'!$B$5),)</f>
        <v>0</v>
      </c>
      <c r="S7" s="577">
        <f>IFERROR(SUMIFS('Rozpočet - HW a licencie'!$I$3:$I$105,'Rozpočet - HW a licencie'!$A$3:$A$105,'TCO TO BE - HW'!S$2,'Rozpočet - HW a licencie'!$C$3:$C$105,"HW",'Rozpočet - HW a licencie'!$G$3:$G$105,'TCO TO BE - HW'!$D7,'Rozpočet - HW a licencie'!$D$3:$D$105,'TCO TO BE - HW'!$B$5)+SUMIFS('Rozpočet - HW a licencie'!$I$3:$I$105,'Rozpočet - HW a licencie'!$A$3:$A$105,'TCO TO BE - HW'!S$2,'Rozpočet - HW a licencie'!$C$3:$C$105,"SW pre HW",'Rozpočet - HW a licencie'!$G$3:$G$105,'TCO TO BE - HW'!$D7,'Rozpočet - HW a licencie'!$D$3:$D$105,'TCO TO BE - HW'!$B$5),)</f>
        <v>0</v>
      </c>
      <c r="T7" s="577">
        <f>IFERROR(SUMIFS('Rozpočet - HW a licencie'!$I$3:$I$105,'Rozpočet - HW a licencie'!$A$3:$A$105,'TCO TO BE - HW'!T$2,'Rozpočet - HW a licencie'!$C$3:$C$105,"HW",'Rozpočet - HW a licencie'!$G$3:$G$105,'TCO TO BE - HW'!$D7,'Rozpočet - HW a licencie'!$D$3:$D$105,'TCO TO BE - HW'!$B$5)+SUMIFS('Rozpočet - HW a licencie'!$I$3:$I$105,'Rozpočet - HW a licencie'!$A$3:$A$105,'TCO TO BE - HW'!T$2,'Rozpočet - HW a licencie'!$C$3:$C$105,"SW pre HW",'Rozpočet - HW a licencie'!$G$3:$G$105,'TCO TO BE - HW'!$D7,'Rozpočet - HW a licencie'!$D$3:$D$105,'TCO TO BE - HW'!$B$5),)</f>
        <v>0</v>
      </c>
      <c r="U7" s="577">
        <f>IFERROR(SUMIFS('Rozpočet - HW a licencie'!$I$3:$I$105,'Rozpočet - HW a licencie'!$A$3:$A$105,'TCO TO BE - HW'!U$2,'Rozpočet - HW a licencie'!$C$3:$C$105,"HW",'Rozpočet - HW a licencie'!$G$3:$G$105,'TCO TO BE - HW'!$D7,'Rozpočet - HW a licencie'!$D$3:$D$105,'TCO TO BE - HW'!$B$5)+SUMIFS('Rozpočet - HW a licencie'!$I$3:$I$105,'Rozpočet - HW a licencie'!$A$3:$A$105,'TCO TO BE - HW'!U$2,'Rozpočet - HW a licencie'!$C$3:$C$105,"SW pre HW",'Rozpočet - HW a licencie'!$G$3:$G$105,'TCO TO BE - HW'!$D7,'Rozpočet - HW a licencie'!$D$3:$D$105,'TCO TO BE - HW'!$B$5),)</f>
        <v>0</v>
      </c>
      <c r="V7" s="577">
        <f>IFERROR(SUMIFS('Rozpočet - HW a licencie'!$I$3:$I$105,'Rozpočet - HW a licencie'!$A$3:$A$105,'TCO TO BE - HW'!V$2,'Rozpočet - HW a licencie'!$C$3:$C$105,"HW",'Rozpočet - HW a licencie'!$G$3:$G$105,'TCO TO BE - HW'!$D7,'Rozpočet - HW a licencie'!$D$3:$D$105,'TCO TO BE - HW'!$B$5)+SUMIFS('Rozpočet - HW a licencie'!$I$3:$I$105,'Rozpočet - HW a licencie'!$A$3:$A$105,'TCO TO BE - HW'!V$2,'Rozpočet - HW a licencie'!$C$3:$C$105,"SW pre HW",'Rozpočet - HW a licencie'!$G$3:$G$105,'TCO TO BE - HW'!$D7,'Rozpočet - HW a licencie'!$D$3:$D$105,'TCO TO BE - HW'!$B$5),)</f>
        <v>0</v>
      </c>
      <c r="W7" s="577">
        <f>IFERROR(SUMIFS('Rozpočet - HW a licencie'!$I$3:$I$105,'Rozpočet - HW a licencie'!$A$3:$A$105,'TCO TO BE - HW'!W$2,'Rozpočet - HW a licencie'!$C$3:$C$105,"HW",'Rozpočet - HW a licencie'!$G$3:$G$105,'TCO TO BE - HW'!$D7,'Rozpočet - HW a licencie'!$D$3:$D$105,'TCO TO BE - HW'!$B$5)+SUMIFS('Rozpočet - HW a licencie'!$I$3:$I$105,'Rozpočet - HW a licencie'!$A$3:$A$105,'TCO TO BE - HW'!W$2,'Rozpočet - HW a licencie'!$C$3:$C$105,"SW pre HW",'Rozpočet - HW a licencie'!$G$3:$G$105,'TCO TO BE - HW'!$D7,'Rozpočet - HW a licencie'!$D$3:$D$105,'TCO TO BE - HW'!$B$5),)</f>
        <v>0</v>
      </c>
      <c r="X7" s="577">
        <f>IFERROR(SUMIFS('Rozpočet - HW a licencie'!$I$3:$I$105,'Rozpočet - HW a licencie'!$A$3:$A$105,'TCO TO BE - HW'!X$2,'Rozpočet - HW a licencie'!$C$3:$C$105,"HW",'Rozpočet - HW a licencie'!$G$3:$G$105,'TCO TO BE - HW'!$D7,'Rozpočet - HW a licencie'!$D$3:$D$105,'TCO TO BE - HW'!$B$5)+SUMIFS('Rozpočet - HW a licencie'!$I$3:$I$105,'Rozpočet - HW a licencie'!$A$3:$A$105,'TCO TO BE - HW'!X$2,'Rozpočet - HW a licencie'!$C$3:$C$105,"SW pre HW",'Rozpočet - HW a licencie'!$G$3:$G$105,'TCO TO BE - HW'!$D7,'Rozpočet - HW a licencie'!$D$3:$D$105,'TCO TO BE - HW'!$B$5),)</f>
        <v>0</v>
      </c>
      <c r="Y7" s="577">
        <f>IFERROR(SUMIFS('Rozpočet - HW a licencie'!$I$3:$I$105,'Rozpočet - HW a licencie'!$A$3:$A$105,'TCO TO BE - HW'!Y$2,'Rozpočet - HW a licencie'!$C$3:$C$105,"HW",'Rozpočet - HW a licencie'!$G$3:$G$105,'TCO TO BE - HW'!$D7,'Rozpočet - HW a licencie'!$D$3:$D$105,'TCO TO BE - HW'!$B$5)+SUMIFS('Rozpočet - HW a licencie'!$I$3:$I$105,'Rozpočet - HW a licencie'!$A$3:$A$105,'TCO TO BE - HW'!Y$2,'Rozpočet - HW a licencie'!$C$3:$C$105,"SW pre HW",'Rozpočet - HW a licencie'!$G$3:$G$105,'TCO TO BE - HW'!$D7,'Rozpočet - HW a licencie'!$D$3:$D$105,'TCO TO BE - HW'!$B$5),)</f>
        <v>0</v>
      </c>
      <c r="Z7" s="577">
        <f>IFERROR(SUMIFS('Rozpočet - HW a licencie'!$I$3:$I$105,'Rozpočet - HW a licencie'!$A$3:$A$105,'TCO TO BE - HW'!Z$2,'Rozpočet - HW a licencie'!$C$3:$C$105,"HW",'Rozpočet - HW a licencie'!$G$3:$G$105,'TCO TO BE - HW'!$D7,'Rozpočet - HW a licencie'!$D$3:$D$105,'TCO TO BE - HW'!$B$5)+SUMIFS('Rozpočet - HW a licencie'!$I$3:$I$105,'Rozpočet - HW a licencie'!$A$3:$A$105,'TCO TO BE - HW'!Z$2,'Rozpočet - HW a licencie'!$C$3:$C$105,"SW pre HW",'Rozpočet - HW a licencie'!$G$3:$G$105,'TCO TO BE - HW'!$D7,'Rozpočet - HW a licencie'!$D$3:$D$105,'TCO TO BE - HW'!$B$5),)</f>
        <v>0</v>
      </c>
    </row>
    <row r="8" spans="1:26" outlineLevel="1">
      <c r="A8" s="824"/>
      <c r="B8" s="825"/>
      <c r="C8" s="825"/>
      <c r="D8" s="498">
        <v>4</v>
      </c>
      <c r="E8" s="68">
        <f t="shared" si="2"/>
        <v>0</v>
      </c>
      <c r="F8" s="577">
        <f>IFERROR(SUMIFS('Rozpočet - HW a licencie'!$I$3:$I$105,'Rozpočet - HW a licencie'!$A$3:$A$105,'TCO TO BE - HW'!F$2,'Rozpočet - HW a licencie'!$C$3:$C$105,"HW",'Rozpočet - HW a licencie'!$G$3:$G$105,'TCO TO BE - HW'!$D8,'Rozpočet - HW a licencie'!$D$3:$D$105,'TCO TO BE - HW'!$B$5)+SUMIFS('Rozpočet - HW a licencie'!$I$3:$I$105,'Rozpočet - HW a licencie'!$A$3:$A$105,'TCO TO BE - HW'!F$2,'Rozpočet - HW a licencie'!$C$3:$C$105,"SW pre HW",'Rozpočet - HW a licencie'!$G$3:$G$105,'TCO TO BE - HW'!$D8,'Rozpočet - HW a licencie'!$D$3:$D$105,'TCO TO BE - HW'!$B$5),)</f>
        <v>0</v>
      </c>
      <c r="G8" s="577">
        <f>IFERROR(SUMIFS('Rozpočet - HW a licencie'!$I$3:$I$105,'Rozpočet - HW a licencie'!$A$3:$A$105,'TCO TO BE - HW'!G$2,'Rozpočet - HW a licencie'!$C$3:$C$105,"HW",'Rozpočet - HW a licencie'!$G$3:$G$105,'TCO TO BE - HW'!$D8,'Rozpočet - HW a licencie'!$D$3:$D$105,'TCO TO BE - HW'!$B$5)+SUMIFS('Rozpočet - HW a licencie'!$I$3:$I$105,'Rozpočet - HW a licencie'!$A$3:$A$105,'TCO TO BE - HW'!G$2,'Rozpočet - HW a licencie'!$C$3:$C$105,"SW pre HW",'Rozpočet - HW a licencie'!$G$3:$G$105,'TCO TO BE - HW'!$D8,'Rozpočet - HW a licencie'!$D$3:$D$105,'TCO TO BE - HW'!$B$5),)</f>
        <v>0</v>
      </c>
      <c r="H8" s="577">
        <f>IFERROR(SUMIFS('Rozpočet - HW a licencie'!$I$3:$I$105,'Rozpočet - HW a licencie'!$A$3:$A$105,'TCO TO BE - HW'!H$2,'Rozpočet - HW a licencie'!$C$3:$C$105,"HW",'Rozpočet - HW a licencie'!$G$3:$G$105,'TCO TO BE - HW'!$D8,'Rozpočet - HW a licencie'!$D$3:$D$105,'TCO TO BE - HW'!$B$5)+SUMIFS('Rozpočet - HW a licencie'!$I$3:$I$105,'Rozpočet - HW a licencie'!$A$3:$A$105,'TCO TO BE - HW'!H$2,'Rozpočet - HW a licencie'!$C$3:$C$105,"SW pre HW",'Rozpočet - HW a licencie'!$G$3:$G$105,'TCO TO BE - HW'!$D8,'Rozpočet - HW a licencie'!$D$3:$D$105,'TCO TO BE - HW'!$B$5),)</f>
        <v>0</v>
      </c>
      <c r="I8" s="577">
        <f>IFERROR(SUMIFS('Rozpočet - HW a licencie'!$I$3:$I$105,'Rozpočet - HW a licencie'!$A$3:$A$105,'TCO TO BE - HW'!I$2,'Rozpočet - HW a licencie'!$C$3:$C$105,"HW",'Rozpočet - HW a licencie'!$G$3:$G$105,'TCO TO BE - HW'!$D8,'Rozpočet - HW a licencie'!$D$3:$D$105,'TCO TO BE - HW'!$B$5)+SUMIFS('Rozpočet - HW a licencie'!$I$3:$I$105,'Rozpočet - HW a licencie'!$A$3:$A$105,'TCO TO BE - HW'!I$2,'Rozpočet - HW a licencie'!$C$3:$C$105,"SW pre HW",'Rozpočet - HW a licencie'!$G$3:$G$105,'TCO TO BE - HW'!$D8,'Rozpočet - HW a licencie'!$D$3:$D$105,'TCO TO BE - HW'!$B$5),)</f>
        <v>0</v>
      </c>
      <c r="J8" s="577">
        <f>IFERROR(SUMIFS('Rozpočet - HW a licencie'!$I$3:$I$105,'Rozpočet - HW a licencie'!$A$3:$A$105,'TCO TO BE - HW'!J$2,'Rozpočet - HW a licencie'!$C$3:$C$105,"HW",'Rozpočet - HW a licencie'!$G$3:$G$105,'TCO TO BE - HW'!$D8,'Rozpočet - HW a licencie'!$D$3:$D$105,'TCO TO BE - HW'!$B$5)+SUMIFS('Rozpočet - HW a licencie'!$I$3:$I$105,'Rozpočet - HW a licencie'!$A$3:$A$105,'TCO TO BE - HW'!J$2,'Rozpočet - HW a licencie'!$C$3:$C$105,"SW pre HW",'Rozpočet - HW a licencie'!$G$3:$G$105,'TCO TO BE - HW'!$D8,'Rozpočet - HW a licencie'!$D$3:$D$105,'TCO TO BE - HW'!$B$5),)</f>
        <v>0</v>
      </c>
      <c r="K8" s="577">
        <f>IFERROR(SUMIFS('Rozpočet - HW a licencie'!$I$3:$I$105,'Rozpočet - HW a licencie'!$A$3:$A$105,'TCO TO BE - HW'!K$2,'Rozpočet - HW a licencie'!$C$3:$C$105,"HW",'Rozpočet - HW a licencie'!$G$3:$G$105,'TCO TO BE - HW'!$D8,'Rozpočet - HW a licencie'!$D$3:$D$105,'TCO TO BE - HW'!$B$5)+SUMIFS('Rozpočet - HW a licencie'!$I$3:$I$105,'Rozpočet - HW a licencie'!$A$3:$A$105,'TCO TO BE - HW'!K$2,'Rozpočet - HW a licencie'!$C$3:$C$105,"SW pre HW",'Rozpočet - HW a licencie'!$G$3:$G$105,'TCO TO BE - HW'!$D8,'Rozpočet - HW a licencie'!$D$3:$D$105,'TCO TO BE - HW'!$B$5),)</f>
        <v>0</v>
      </c>
      <c r="L8" s="577">
        <f>IFERROR(SUMIFS('Rozpočet - HW a licencie'!$I$3:$I$105,'Rozpočet - HW a licencie'!$A$3:$A$105,'TCO TO BE - HW'!L$2,'Rozpočet - HW a licencie'!$C$3:$C$105,"HW",'Rozpočet - HW a licencie'!$G$3:$G$105,'TCO TO BE - HW'!$D8,'Rozpočet - HW a licencie'!$D$3:$D$105,'TCO TO BE - HW'!$B$5)+SUMIFS('Rozpočet - HW a licencie'!$I$3:$I$105,'Rozpočet - HW a licencie'!$A$3:$A$105,'TCO TO BE - HW'!L$2,'Rozpočet - HW a licencie'!$C$3:$C$105,"SW pre HW",'Rozpočet - HW a licencie'!$G$3:$G$105,'TCO TO BE - HW'!$D8,'Rozpočet - HW a licencie'!$D$3:$D$105,'TCO TO BE - HW'!$B$5),)</f>
        <v>0</v>
      </c>
      <c r="M8" s="577">
        <f>IFERROR(SUMIFS('Rozpočet - HW a licencie'!$I$3:$I$105,'Rozpočet - HW a licencie'!$A$3:$A$105,'TCO TO BE - HW'!M$2,'Rozpočet - HW a licencie'!$C$3:$C$105,"HW",'Rozpočet - HW a licencie'!$G$3:$G$105,'TCO TO BE - HW'!$D8,'Rozpočet - HW a licencie'!$D$3:$D$105,'TCO TO BE - HW'!$B$5)+SUMIFS('Rozpočet - HW a licencie'!$I$3:$I$105,'Rozpočet - HW a licencie'!$A$3:$A$105,'TCO TO BE - HW'!M$2,'Rozpočet - HW a licencie'!$C$3:$C$105,"SW pre HW",'Rozpočet - HW a licencie'!$G$3:$G$105,'TCO TO BE - HW'!$D8,'Rozpočet - HW a licencie'!$D$3:$D$105,'TCO TO BE - HW'!$B$5),)</f>
        <v>0</v>
      </c>
      <c r="N8" s="577">
        <f>IFERROR(SUMIFS('Rozpočet - HW a licencie'!$I$3:$I$105,'Rozpočet - HW a licencie'!$A$3:$A$105,'TCO TO BE - HW'!N$2,'Rozpočet - HW a licencie'!$C$3:$C$105,"HW",'Rozpočet - HW a licencie'!$G$3:$G$105,'TCO TO BE - HW'!$D8,'Rozpočet - HW a licencie'!$D$3:$D$105,'TCO TO BE - HW'!$B$5)+SUMIFS('Rozpočet - HW a licencie'!$I$3:$I$105,'Rozpočet - HW a licencie'!$A$3:$A$105,'TCO TO BE - HW'!N$2,'Rozpočet - HW a licencie'!$C$3:$C$105,"SW pre HW",'Rozpočet - HW a licencie'!$G$3:$G$105,'TCO TO BE - HW'!$D8,'Rozpočet - HW a licencie'!$D$3:$D$105,'TCO TO BE - HW'!$B$5),)</f>
        <v>0</v>
      </c>
      <c r="O8" s="577">
        <f>IFERROR(SUMIFS('Rozpočet - HW a licencie'!$I$3:$I$105,'Rozpočet - HW a licencie'!$A$3:$A$105,'TCO TO BE - HW'!O$2,'Rozpočet - HW a licencie'!$C$3:$C$105,"HW",'Rozpočet - HW a licencie'!$G$3:$G$105,'TCO TO BE - HW'!$D8,'Rozpočet - HW a licencie'!$D$3:$D$105,'TCO TO BE - HW'!$B$5)+SUMIFS('Rozpočet - HW a licencie'!$I$3:$I$105,'Rozpočet - HW a licencie'!$A$3:$A$105,'TCO TO BE - HW'!O$2,'Rozpočet - HW a licencie'!$C$3:$C$105,"SW pre HW",'Rozpočet - HW a licencie'!$G$3:$G$105,'TCO TO BE - HW'!$D8,'Rozpočet - HW a licencie'!$D$3:$D$105,'TCO TO BE - HW'!$B$5),)</f>
        <v>0</v>
      </c>
      <c r="P8" s="577">
        <f>IFERROR(SUMIFS('Rozpočet - HW a licencie'!$I$3:$I$105,'Rozpočet - HW a licencie'!$A$3:$A$105,'TCO TO BE - HW'!P$2,'Rozpočet - HW a licencie'!$C$3:$C$105,"HW",'Rozpočet - HW a licencie'!$G$3:$G$105,'TCO TO BE - HW'!$D8,'Rozpočet - HW a licencie'!$D$3:$D$105,'TCO TO BE - HW'!$B$5)+SUMIFS('Rozpočet - HW a licencie'!$I$3:$I$105,'Rozpočet - HW a licencie'!$A$3:$A$105,'TCO TO BE - HW'!P$2,'Rozpočet - HW a licencie'!$C$3:$C$105,"SW pre HW",'Rozpočet - HW a licencie'!$G$3:$G$105,'TCO TO BE - HW'!$D8,'Rozpočet - HW a licencie'!$D$3:$D$105,'TCO TO BE - HW'!$B$5),)</f>
        <v>0</v>
      </c>
      <c r="Q8" s="577">
        <f>IFERROR(SUMIFS('Rozpočet - HW a licencie'!$I$3:$I$105,'Rozpočet - HW a licencie'!$A$3:$A$105,'TCO TO BE - HW'!Q$2,'Rozpočet - HW a licencie'!$C$3:$C$105,"HW",'Rozpočet - HW a licencie'!$G$3:$G$105,'TCO TO BE - HW'!$D8,'Rozpočet - HW a licencie'!$D$3:$D$105,'TCO TO BE - HW'!$B$5)+SUMIFS('Rozpočet - HW a licencie'!$I$3:$I$105,'Rozpočet - HW a licencie'!$A$3:$A$105,'TCO TO BE - HW'!Q$2,'Rozpočet - HW a licencie'!$C$3:$C$105,"SW pre HW",'Rozpočet - HW a licencie'!$G$3:$G$105,'TCO TO BE - HW'!$D8,'Rozpočet - HW a licencie'!$D$3:$D$105,'TCO TO BE - HW'!$B$5),)</f>
        <v>0</v>
      </c>
      <c r="R8" s="577">
        <f>IFERROR(SUMIFS('Rozpočet - HW a licencie'!$I$3:$I$105,'Rozpočet - HW a licencie'!$A$3:$A$105,'TCO TO BE - HW'!R$2,'Rozpočet - HW a licencie'!$C$3:$C$105,"HW",'Rozpočet - HW a licencie'!$G$3:$G$105,'TCO TO BE - HW'!$D8,'Rozpočet - HW a licencie'!$D$3:$D$105,'TCO TO BE - HW'!$B$5)+SUMIFS('Rozpočet - HW a licencie'!$I$3:$I$105,'Rozpočet - HW a licencie'!$A$3:$A$105,'TCO TO BE - HW'!R$2,'Rozpočet - HW a licencie'!$C$3:$C$105,"SW pre HW",'Rozpočet - HW a licencie'!$G$3:$G$105,'TCO TO BE - HW'!$D8,'Rozpočet - HW a licencie'!$D$3:$D$105,'TCO TO BE - HW'!$B$5),)</f>
        <v>0</v>
      </c>
      <c r="S8" s="577">
        <f>IFERROR(SUMIFS('Rozpočet - HW a licencie'!$I$3:$I$105,'Rozpočet - HW a licencie'!$A$3:$A$105,'TCO TO BE - HW'!S$2,'Rozpočet - HW a licencie'!$C$3:$C$105,"HW",'Rozpočet - HW a licencie'!$G$3:$G$105,'TCO TO BE - HW'!$D8,'Rozpočet - HW a licencie'!$D$3:$D$105,'TCO TO BE - HW'!$B$5)+SUMIFS('Rozpočet - HW a licencie'!$I$3:$I$105,'Rozpočet - HW a licencie'!$A$3:$A$105,'TCO TO BE - HW'!S$2,'Rozpočet - HW a licencie'!$C$3:$C$105,"SW pre HW",'Rozpočet - HW a licencie'!$G$3:$G$105,'TCO TO BE - HW'!$D8,'Rozpočet - HW a licencie'!$D$3:$D$105,'TCO TO BE - HW'!$B$5),)</f>
        <v>0</v>
      </c>
      <c r="T8" s="577">
        <f>IFERROR(SUMIFS('Rozpočet - HW a licencie'!$I$3:$I$105,'Rozpočet - HW a licencie'!$A$3:$A$105,'TCO TO BE - HW'!T$2,'Rozpočet - HW a licencie'!$C$3:$C$105,"HW",'Rozpočet - HW a licencie'!$G$3:$G$105,'TCO TO BE - HW'!$D8,'Rozpočet - HW a licencie'!$D$3:$D$105,'TCO TO BE - HW'!$B$5)+SUMIFS('Rozpočet - HW a licencie'!$I$3:$I$105,'Rozpočet - HW a licencie'!$A$3:$A$105,'TCO TO BE - HW'!T$2,'Rozpočet - HW a licencie'!$C$3:$C$105,"SW pre HW",'Rozpočet - HW a licencie'!$G$3:$G$105,'TCO TO BE - HW'!$D8,'Rozpočet - HW a licencie'!$D$3:$D$105,'TCO TO BE - HW'!$B$5),)</f>
        <v>0</v>
      </c>
      <c r="U8" s="577">
        <f>IFERROR(SUMIFS('Rozpočet - HW a licencie'!$I$3:$I$105,'Rozpočet - HW a licencie'!$A$3:$A$105,'TCO TO BE - HW'!U$2,'Rozpočet - HW a licencie'!$C$3:$C$105,"HW",'Rozpočet - HW a licencie'!$G$3:$G$105,'TCO TO BE - HW'!$D8,'Rozpočet - HW a licencie'!$D$3:$D$105,'TCO TO BE - HW'!$B$5)+SUMIFS('Rozpočet - HW a licencie'!$I$3:$I$105,'Rozpočet - HW a licencie'!$A$3:$A$105,'TCO TO BE - HW'!U$2,'Rozpočet - HW a licencie'!$C$3:$C$105,"SW pre HW",'Rozpočet - HW a licencie'!$G$3:$G$105,'TCO TO BE - HW'!$D8,'Rozpočet - HW a licencie'!$D$3:$D$105,'TCO TO BE - HW'!$B$5),)</f>
        <v>0</v>
      </c>
      <c r="V8" s="577">
        <f>IFERROR(SUMIFS('Rozpočet - HW a licencie'!$I$3:$I$105,'Rozpočet - HW a licencie'!$A$3:$A$105,'TCO TO BE - HW'!V$2,'Rozpočet - HW a licencie'!$C$3:$C$105,"HW",'Rozpočet - HW a licencie'!$G$3:$G$105,'TCO TO BE - HW'!$D8,'Rozpočet - HW a licencie'!$D$3:$D$105,'TCO TO BE - HW'!$B$5)+SUMIFS('Rozpočet - HW a licencie'!$I$3:$I$105,'Rozpočet - HW a licencie'!$A$3:$A$105,'TCO TO BE - HW'!V$2,'Rozpočet - HW a licencie'!$C$3:$C$105,"SW pre HW",'Rozpočet - HW a licencie'!$G$3:$G$105,'TCO TO BE - HW'!$D8,'Rozpočet - HW a licencie'!$D$3:$D$105,'TCO TO BE - HW'!$B$5),)</f>
        <v>0</v>
      </c>
      <c r="W8" s="577">
        <f>IFERROR(SUMIFS('Rozpočet - HW a licencie'!$I$3:$I$105,'Rozpočet - HW a licencie'!$A$3:$A$105,'TCO TO BE - HW'!W$2,'Rozpočet - HW a licencie'!$C$3:$C$105,"HW",'Rozpočet - HW a licencie'!$G$3:$G$105,'TCO TO BE - HW'!$D8,'Rozpočet - HW a licencie'!$D$3:$D$105,'TCO TO BE - HW'!$B$5)+SUMIFS('Rozpočet - HW a licencie'!$I$3:$I$105,'Rozpočet - HW a licencie'!$A$3:$A$105,'TCO TO BE - HW'!W$2,'Rozpočet - HW a licencie'!$C$3:$C$105,"SW pre HW",'Rozpočet - HW a licencie'!$G$3:$G$105,'TCO TO BE - HW'!$D8,'Rozpočet - HW a licencie'!$D$3:$D$105,'TCO TO BE - HW'!$B$5),)</f>
        <v>0</v>
      </c>
      <c r="X8" s="577">
        <f>IFERROR(SUMIFS('Rozpočet - HW a licencie'!$I$3:$I$105,'Rozpočet - HW a licencie'!$A$3:$A$105,'TCO TO BE - HW'!X$2,'Rozpočet - HW a licencie'!$C$3:$C$105,"HW",'Rozpočet - HW a licencie'!$G$3:$G$105,'TCO TO BE - HW'!$D8,'Rozpočet - HW a licencie'!$D$3:$D$105,'TCO TO BE - HW'!$B$5)+SUMIFS('Rozpočet - HW a licencie'!$I$3:$I$105,'Rozpočet - HW a licencie'!$A$3:$A$105,'TCO TO BE - HW'!X$2,'Rozpočet - HW a licencie'!$C$3:$C$105,"SW pre HW",'Rozpočet - HW a licencie'!$G$3:$G$105,'TCO TO BE - HW'!$D8,'Rozpočet - HW a licencie'!$D$3:$D$105,'TCO TO BE - HW'!$B$5),)</f>
        <v>0</v>
      </c>
      <c r="Y8" s="577">
        <f>IFERROR(SUMIFS('Rozpočet - HW a licencie'!$I$3:$I$105,'Rozpočet - HW a licencie'!$A$3:$A$105,'TCO TO BE - HW'!Y$2,'Rozpočet - HW a licencie'!$C$3:$C$105,"HW",'Rozpočet - HW a licencie'!$G$3:$G$105,'TCO TO BE - HW'!$D8,'Rozpočet - HW a licencie'!$D$3:$D$105,'TCO TO BE - HW'!$B$5)+SUMIFS('Rozpočet - HW a licencie'!$I$3:$I$105,'Rozpočet - HW a licencie'!$A$3:$A$105,'TCO TO BE - HW'!Y$2,'Rozpočet - HW a licencie'!$C$3:$C$105,"SW pre HW",'Rozpočet - HW a licencie'!$G$3:$G$105,'TCO TO BE - HW'!$D8,'Rozpočet - HW a licencie'!$D$3:$D$105,'TCO TO BE - HW'!$B$5),)</f>
        <v>0</v>
      </c>
      <c r="Z8" s="577">
        <f>IFERROR(SUMIFS('Rozpočet - HW a licencie'!$I$3:$I$105,'Rozpočet - HW a licencie'!$A$3:$A$105,'TCO TO BE - HW'!Z$2,'Rozpočet - HW a licencie'!$C$3:$C$105,"HW",'Rozpočet - HW a licencie'!$G$3:$G$105,'TCO TO BE - HW'!$D8,'Rozpočet - HW a licencie'!$D$3:$D$105,'TCO TO BE - HW'!$B$5)+SUMIFS('Rozpočet - HW a licencie'!$I$3:$I$105,'Rozpočet - HW a licencie'!$A$3:$A$105,'TCO TO BE - HW'!Z$2,'Rozpočet - HW a licencie'!$C$3:$C$105,"SW pre HW",'Rozpočet - HW a licencie'!$G$3:$G$105,'TCO TO BE - HW'!$D8,'Rozpočet - HW a licencie'!$D$3:$D$105,'TCO TO BE - HW'!$B$5),)</f>
        <v>0</v>
      </c>
    </row>
    <row r="9" spans="1:26" outlineLevel="1">
      <c r="A9" s="824"/>
      <c r="B9" s="825"/>
      <c r="C9" s="825"/>
      <c r="D9" s="498">
        <v>5</v>
      </c>
      <c r="E9" s="68">
        <f t="shared" si="2"/>
        <v>0</v>
      </c>
      <c r="F9" s="577">
        <f>IFERROR(SUMIFS('Rozpočet - HW a licencie'!$I$3:$I$105,'Rozpočet - HW a licencie'!$A$3:$A$105,'TCO TO BE - HW'!F$2,'Rozpočet - HW a licencie'!$C$3:$C$105,"HW",'Rozpočet - HW a licencie'!$G$3:$G$105,'TCO TO BE - HW'!$D9,'Rozpočet - HW a licencie'!$D$3:$D$105,'TCO TO BE - HW'!$B$5)+SUMIFS('Rozpočet - HW a licencie'!$I$3:$I$105,'Rozpočet - HW a licencie'!$A$3:$A$105,'TCO TO BE - HW'!F$2,'Rozpočet - HW a licencie'!$C$3:$C$105,"SW pre HW",'Rozpočet - HW a licencie'!$G$3:$G$105,'TCO TO BE - HW'!$D9,'Rozpočet - HW a licencie'!$D$3:$D$105,'TCO TO BE - HW'!$B$5),)</f>
        <v>0</v>
      </c>
      <c r="G9" s="577">
        <f>IFERROR(SUMIFS('Rozpočet - HW a licencie'!$I$3:$I$105,'Rozpočet - HW a licencie'!$A$3:$A$105,'TCO TO BE - HW'!G$2,'Rozpočet - HW a licencie'!$C$3:$C$105,"HW",'Rozpočet - HW a licencie'!$G$3:$G$105,'TCO TO BE - HW'!$D9,'Rozpočet - HW a licencie'!$D$3:$D$105,'TCO TO BE - HW'!$B$5)+SUMIFS('Rozpočet - HW a licencie'!$I$3:$I$105,'Rozpočet - HW a licencie'!$A$3:$A$105,'TCO TO BE - HW'!G$2,'Rozpočet - HW a licencie'!$C$3:$C$105,"SW pre HW",'Rozpočet - HW a licencie'!$G$3:$G$105,'TCO TO BE - HW'!$D9,'Rozpočet - HW a licencie'!$D$3:$D$105,'TCO TO BE - HW'!$B$5),)</f>
        <v>0</v>
      </c>
      <c r="H9" s="577">
        <f>IFERROR(SUMIFS('Rozpočet - HW a licencie'!$I$3:$I$105,'Rozpočet - HW a licencie'!$A$3:$A$105,'TCO TO BE - HW'!H$2,'Rozpočet - HW a licencie'!$C$3:$C$105,"HW",'Rozpočet - HW a licencie'!$G$3:$G$105,'TCO TO BE - HW'!$D9,'Rozpočet - HW a licencie'!$D$3:$D$105,'TCO TO BE - HW'!$B$5)+SUMIFS('Rozpočet - HW a licencie'!$I$3:$I$105,'Rozpočet - HW a licencie'!$A$3:$A$105,'TCO TO BE - HW'!H$2,'Rozpočet - HW a licencie'!$C$3:$C$105,"SW pre HW",'Rozpočet - HW a licencie'!$G$3:$G$105,'TCO TO BE - HW'!$D9,'Rozpočet - HW a licencie'!$D$3:$D$105,'TCO TO BE - HW'!$B$5),)</f>
        <v>0</v>
      </c>
      <c r="I9" s="577">
        <f>IFERROR(SUMIFS('Rozpočet - HW a licencie'!$I$3:$I$105,'Rozpočet - HW a licencie'!$A$3:$A$105,'TCO TO BE - HW'!I$2,'Rozpočet - HW a licencie'!$C$3:$C$105,"HW",'Rozpočet - HW a licencie'!$G$3:$G$105,'TCO TO BE - HW'!$D9,'Rozpočet - HW a licencie'!$D$3:$D$105,'TCO TO BE - HW'!$B$5)+SUMIFS('Rozpočet - HW a licencie'!$I$3:$I$105,'Rozpočet - HW a licencie'!$A$3:$A$105,'TCO TO BE - HW'!I$2,'Rozpočet - HW a licencie'!$C$3:$C$105,"SW pre HW",'Rozpočet - HW a licencie'!$G$3:$G$105,'TCO TO BE - HW'!$D9,'Rozpočet - HW a licencie'!$D$3:$D$105,'TCO TO BE - HW'!$B$5),)</f>
        <v>0</v>
      </c>
      <c r="J9" s="577">
        <f>IFERROR(SUMIFS('Rozpočet - HW a licencie'!$I$3:$I$105,'Rozpočet - HW a licencie'!$A$3:$A$105,'TCO TO BE - HW'!J$2,'Rozpočet - HW a licencie'!$C$3:$C$105,"HW",'Rozpočet - HW a licencie'!$G$3:$G$105,'TCO TO BE - HW'!$D9,'Rozpočet - HW a licencie'!$D$3:$D$105,'TCO TO BE - HW'!$B$5)+SUMIFS('Rozpočet - HW a licencie'!$I$3:$I$105,'Rozpočet - HW a licencie'!$A$3:$A$105,'TCO TO BE - HW'!J$2,'Rozpočet - HW a licencie'!$C$3:$C$105,"SW pre HW",'Rozpočet - HW a licencie'!$G$3:$G$105,'TCO TO BE - HW'!$D9,'Rozpočet - HW a licencie'!$D$3:$D$105,'TCO TO BE - HW'!$B$5),)</f>
        <v>0</v>
      </c>
      <c r="K9" s="577">
        <f>IFERROR(SUMIFS('Rozpočet - HW a licencie'!$I$3:$I$105,'Rozpočet - HW a licencie'!$A$3:$A$105,'TCO TO BE - HW'!K$2,'Rozpočet - HW a licencie'!$C$3:$C$105,"HW",'Rozpočet - HW a licencie'!$G$3:$G$105,'TCO TO BE - HW'!$D9,'Rozpočet - HW a licencie'!$D$3:$D$105,'TCO TO BE - HW'!$B$5)+SUMIFS('Rozpočet - HW a licencie'!$I$3:$I$105,'Rozpočet - HW a licencie'!$A$3:$A$105,'TCO TO BE - HW'!K$2,'Rozpočet - HW a licencie'!$C$3:$C$105,"SW pre HW",'Rozpočet - HW a licencie'!$G$3:$G$105,'TCO TO BE - HW'!$D9,'Rozpočet - HW a licencie'!$D$3:$D$105,'TCO TO BE - HW'!$B$5),)</f>
        <v>0</v>
      </c>
      <c r="L9" s="577">
        <f>IFERROR(SUMIFS('Rozpočet - HW a licencie'!$I$3:$I$105,'Rozpočet - HW a licencie'!$A$3:$A$105,'TCO TO BE - HW'!L$2,'Rozpočet - HW a licencie'!$C$3:$C$105,"HW",'Rozpočet - HW a licencie'!$G$3:$G$105,'TCO TO BE - HW'!$D9,'Rozpočet - HW a licencie'!$D$3:$D$105,'TCO TO BE - HW'!$B$5)+SUMIFS('Rozpočet - HW a licencie'!$I$3:$I$105,'Rozpočet - HW a licencie'!$A$3:$A$105,'TCO TO BE - HW'!L$2,'Rozpočet - HW a licencie'!$C$3:$C$105,"SW pre HW",'Rozpočet - HW a licencie'!$G$3:$G$105,'TCO TO BE - HW'!$D9,'Rozpočet - HW a licencie'!$D$3:$D$105,'TCO TO BE - HW'!$B$5),)</f>
        <v>0</v>
      </c>
      <c r="M9" s="577">
        <f>IFERROR(SUMIFS('Rozpočet - HW a licencie'!$I$3:$I$105,'Rozpočet - HW a licencie'!$A$3:$A$105,'TCO TO BE - HW'!M$2,'Rozpočet - HW a licencie'!$C$3:$C$105,"HW",'Rozpočet - HW a licencie'!$G$3:$G$105,'TCO TO BE - HW'!$D9,'Rozpočet - HW a licencie'!$D$3:$D$105,'TCO TO BE - HW'!$B$5)+SUMIFS('Rozpočet - HW a licencie'!$I$3:$I$105,'Rozpočet - HW a licencie'!$A$3:$A$105,'TCO TO BE - HW'!M$2,'Rozpočet - HW a licencie'!$C$3:$C$105,"SW pre HW",'Rozpočet - HW a licencie'!$G$3:$G$105,'TCO TO BE - HW'!$D9,'Rozpočet - HW a licencie'!$D$3:$D$105,'TCO TO BE - HW'!$B$5),)</f>
        <v>0</v>
      </c>
      <c r="N9" s="577">
        <f>IFERROR(SUMIFS('Rozpočet - HW a licencie'!$I$3:$I$105,'Rozpočet - HW a licencie'!$A$3:$A$105,'TCO TO BE - HW'!N$2,'Rozpočet - HW a licencie'!$C$3:$C$105,"HW",'Rozpočet - HW a licencie'!$G$3:$G$105,'TCO TO BE - HW'!$D9,'Rozpočet - HW a licencie'!$D$3:$D$105,'TCO TO BE - HW'!$B$5)+SUMIFS('Rozpočet - HW a licencie'!$I$3:$I$105,'Rozpočet - HW a licencie'!$A$3:$A$105,'TCO TO BE - HW'!N$2,'Rozpočet - HW a licencie'!$C$3:$C$105,"SW pre HW",'Rozpočet - HW a licencie'!$G$3:$G$105,'TCO TO BE - HW'!$D9,'Rozpočet - HW a licencie'!$D$3:$D$105,'TCO TO BE - HW'!$B$5),)</f>
        <v>0</v>
      </c>
      <c r="O9" s="577">
        <f>IFERROR(SUMIFS('Rozpočet - HW a licencie'!$I$3:$I$105,'Rozpočet - HW a licencie'!$A$3:$A$105,'TCO TO BE - HW'!O$2,'Rozpočet - HW a licencie'!$C$3:$C$105,"HW",'Rozpočet - HW a licencie'!$G$3:$G$105,'TCO TO BE - HW'!$D9,'Rozpočet - HW a licencie'!$D$3:$D$105,'TCO TO BE - HW'!$B$5)+SUMIFS('Rozpočet - HW a licencie'!$I$3:$I$105,'Rozpočet - HW a licencie'!$A$3:$A$105,'TCO TO BE - HW'!O$2,'Rozpočet - HW a licencie'!$C$3:$C$105,"SW pre HW",'Rozpočet - HW a licencie'!$G$3:$G$105,'TCO TO BE - HW'!$D9,'Rozpočet - HW a licencie'!$D$3:$D$105,'TCO TO BE - HW'!$B$5),)</f>
        <v>0</v>
      </c>
      <c r="P9" s="577">
        <f>IFERROR(SUMIFS('Rozpočet - HW a licencie'!$I$3:$I$105,'Rozpočet - HW a licencie'!$A$3:$A$105,'TCO TO BE - HW'!P$2,'Rozpočet - HW a licencie'!$C$3:$C$105,"HW",'Rozpočet - HW a licencie'!$G$3:$G$105,'TCO TO BE - HW'!$D9,'Rozpočet - HW a licencie'!$D$3:$D$105,'TCO TO BE - HW'!$B$5)+SUMIFS('Rozpočet - HW a licencie'!$I$3:$I$105,'Rozpočet - HW a licencie'!$A$3:$A$105,'TCO TO BE - HW'!P$2,'Rozpočet - HW a licencie'!$C$3:$C$105,"SW pre HW",'Rozpočet - HW a licencie'!$G$3:$G$105,'TCO TO BE - HW'!$D9,'Rozpočet - HW a licencie'!$D$3:$D$105,'TCO TO BE - HW'!$B$5),)</f>
        <v>0</v>
      </c>
      <c r="Q9" s="577">
        <f>IFERROR(SUMIFS('Rozpočet - HW a licencie'!$I$3:$I$105,'Rozpočet - HW a licencie'!$A$3:$A$105,'TCO TO BE - HW'!Q$2,'Rozpočet - HW a licencie'!$C$3:$C$105,"HW",'Rozpočet - HW a licencie'!$G$3:$G$105,'TCO TO BE - HW'!$D9,'Rozpočet - HW a licencie'!$D$3:$D$105,'TCO TO BE - HW'!$B$5)+SUMIFS('Rozpočet - HW a licencie'!$I$3:$I$105,'Rozpočet - HW a licencie'!$A$3:$A$105,'TCO TO BE - HW'!Q$2,'Rozpočet - HW a licencie'!$C$3:$C$105,"SW pre HW",'Rozpočet - HW a licencie'!$G$3:$G$105,'TCO TO BE - HW'!$D9,'Rozpočet - HW a licencie'!$D$3:$D$105,'TCO TO BE - HW'!$B$5),)</f>
        <v>0</v>
      </c>
      <c r="R9" s="577">
        <f>IFERROR(SUMIFS('Rozpočet - HW a licencie'!$I$3:$I$105,'Rozpočet - HW a licencie'!$A$3:$A$105,'TCO TO BE - HW'!R$2,'Rozpočet - HW a licencie'!$C$3:$C$105,"HW",'Rozpočet - HW a licencie'!$G$3:$G$105,'TCO TO BE - HW'!$D9,'Rozpočet - HW a licencie'!$D$3:$D$105,'TCO TO BE - HW'!$B$5)+SUMIFS('Rozpočet - HW a licencie'!$I$3:$I$105,'Rozpočet - HW a licencie'!$A$3:$A$105,'TCO TO BE - HW'!R$2,'Rozpočet - HW a licencie'!$C$3:$C$105,"SW pre HW",'Rozpočet - HW a licencie'!$G$3:$G$105,'TCO TO BE - HW'!$D9,'Rozpočet - HW a licencie'!$D$3:$D$105,'TCO TO BE - HW'!$B$5),)</f>
        <v>0</v>
      </c>
      <c r="S9" s="577">
        <f>IFERROR(SUMIFS('Rozpočet - HW a licencie'!$I$3:$I$105,'Rozpočet - HW a licencie'!$A$3:$A$105,'TCO TO BE - HW'!S$2,'Rozpočet - HW a licencie'!$C$3:$C$105,"HW",'Rozpočet - HW a licencie'!$G$3:$G$105,'TCO TO BE - HW'!$D9,'Rozpočet - HW a licencie'!$D$3:$D$105,'TCO TO BE - HW'!$B$5)+SUMIFS('Rozpočet - HW a licencie'!$I$3:$I$105,'Rozpočet - HW a licencie'!$A$3:$A$105,'TCO TO BE - HW'!S$2,'Rozpočet - HW a licencie'!$C$3:$C$105,"SW pre HW",'Rozpočet - HW a licencie'!$G$3:$G$105,'TCO TO BE - HW'!$D9,'Rozpočet - HW a licencie'!$D$3:$D$105,'TCO TO BE - HW'!$B$5),)</f>
        <v>0</v>
      </c>
      <c r="T9" s="577">
        <f>IFERROR(SUMIFS('Rozpočet - HW a licencie'!$I$3:$I$105,'Rozpočet - HW a licencie'!$A$3:$A$105,'TCO TO BE - HW'!T$2,'Rozpočet - HW a licencie'!$C$3:$C$105,"HW",'Rozpočet - HW a licencie'!$G$3:$G$105,'TCO TO BE - HW'!$D9,'Rozpočet - HW a licencie'!$D$3:$D$105,'TCO TO BE - HW'!$B$5)+SUMIFS('Rozpočet - HW a licencie'!$I$3:$I$105,'Rozpočet - HW a licencie'!$A$3:$A$105,'TCO TO BE - HW'!T$2,'Rozpočet - HW a licencie'!$C$3:$C$105,"SW pre HW",'Rozpočet - HW a licencie'!$G$3:$G$105,'TCO TO BE - HW'!$D9,'Rozpočet - HW a licencie'!$D$3:$D$105,'TCO TO BE - HW'!$B$5),)</f>
        <v>0</v>
      </c>
      <c r="U9" s="577">
        <f>IFERROR(SUMIFS('Rozpočet - HW a licencie'!$I$3:$I$105,'Rozpočet - HW a licencie'!$A$3:$A$105,'TCO TO BE - HW'!U$2,'Rozpočet - HW a licencie'!$C$3:$C$105,"HW",'Rozpočet - HW a licencie'!$G$3:$G$105,'TCO TO BE - HW'!$D9,'Rozpočet - HW a licencie'!$D$3:$D$105,'TCO TO BE - HW'!$B$5)+SUMIFS('Rozpočet - HW a licencie'!$I$3:$I$105,'Rozpočet - HW a licencie'!$A$3:$A$105,'TCO TO BE - HW'!U$2,'Rozpočet - HW a licencie'!$C$3:$C$105,"SW pre HW",'Rozpočet - HW a licencie'!$G$3:$G$105,'TCO TO BE - HW'!$D9,'Rozpočet - HW a licencie'!$D$3:$D$105,'TCO TO BE - HW'!$B$5),)</f>
        <v>0</v>
      </c>
      <c r="V9" s="577">
        <f>IFERROR(SUMIFS('Rozpočet - HW a licencie'!$I$3:$I$105,'Rozpočet - HW a licencie'!$A$3:$A$105,'TCO TO BE - HW'!V$2,'Rozpočet - HW a licencie'!$C$3:$C$105,"HW",'Rozpočet - HW a licencie'!$G$3:$G$105,'TCO TO BE - HW'!$D9,'Rozpočet - HW a licencie'!$D$3:$D$105,'TCO TO BE - HW'!$B$5)+SUMIFS('Rozpočet - HW a licencie'!$I$3:$I$105,'Rozpočet - HW a licencie'!$A$3:$A$105,'TCO TO BE - HW'!V$2,'Rozpočet - HW a licencie'!$C$3:$C$105,"SW pre HW",'Rozpočet - HW a licencie'!$G$3:$G$105,'TCO TO BE - HW'!$D9,'Rozpočet - HW a licencie'!$D$3:$D$105,'TCO TO BE - HW'!$B$5),)</f>
        <v>0</v>
      </c>
      <c r="W9" s="577">
        <f>IFERROR(SUMIFS('Rozpočet - HW a licencie'!$I$3:$I$105,'Rozpočet - HW a licencie'!$A$3:$A$105,'TCO TO BE - HW'!W$2,'Rozpočet - HW a licencie'!$C$3:$C$105,"HW",'Rozpočet - HW a licencie'!$G$3:$G$105,'TCO TO BE - HW'!$D9,'Rozpočet - HW a licencie'!$D$3:$D$105,'TCO TO BE - HW'!$B$5)+SUMIFS('Rozpočet - HW a licencie'!$I$3:$I$105,'Rozpočet - HW a licencie'!$A$3:$A$105,'TCO TO BE - HW'!W$2,'Rozpočet - HW a licencie'!$C$3:$C$105,"SW pre HW",'Rozpočet - HW a licencie'!$G$3:$G$105,'TCO TO BE - HW'!$D9,'Rozpočet - HW a licencie'!$D$3:$D$105,'TCO TO BE - HW'!$B$5),)</f>
        <v>0</v>
      </c>
      <c r="X9" s="577">
        <f>IFERROR(SUMIFS('Rozpočet - HW a licencie'!$I$3:$I$105,'Rozpočet - HW a licencie'!$A$3:$A$105,'TCO TO BE - HW'!X$2,'Rozpočet - HW a licencie'!$C$3:$C$105,"HW",'Rozpočet - HW a licencie'!$G$3:$G$105,'TCO TO BE - HW'!$D9,'Rozpočet - HW a licencie'!$D$3:$D$105,'TCO TO BE - HW'!$B$5)+SUMIFS('Rozpočet - HW a licencie'!$I$3:$I$105,'Rozpočet - HW a licencie'!$A$3:$A$105,'TCO TO BE - HW'!X$2,'Rozpočet - HW a licencie'!$C$3:$C$105,"SW pre HW",'Rozpočet - HW a licencie'!$G$3:$G$105,'TCO TO BE - HW'!$D9,'Rozpočet - HW a licencie'!$D$3:$D$105,'TCO TO BE - HW'!$B$5),)</f>
        <v>0</v>
      </c>
      <c r="Y9" s="577">
        <f>IFERROR(SUMIFS('Rozpočet - HW a licencie'!$I$3:$I$105,'Rozpočet - HW a licencie'!$A$3:$A$105,'TCO TO BE - HW'!Y$2,'Rozpočet - HW a licencie'!$C$3:$C$105,"HW",'Rozpočet - HW a licencie'!$G$3:$G$105,'TCO TO BE - HW'!$D9,'Rozpočet - HW a licencie'!$D$3:$D$105,'TCO TO BE - HW'!$B$5)+SUMIFS('Rozpočet - HW a licencie'!$I$3:$I$105,'Rozpočet - HW a licencie'!$A$3:$A$105,'TCO TO BE - HW'!Y$2,'Rozpočet - HW a licencie'!$C$3:$C$105,"SW pre HW",'Rozpočet - HW a licencie'!$G$3:$G$105,'TCO TO BE - HW'!$D9,'Rozpočet - HW a licencie'!$D$3:$D$105,'TCO TO BE - HW'!$B$5),)</f>
        <v>0</v>
      </c>
      <c r="Z9" s="577">
        <f>IFERROR(SUMIFS('Rozpočet - HW a licencie'!$I$3:$I$105,'Rozpočet - HW a licencie'!$A$3:$A$105,'TCO TO BE - HW'!Z$2,'Rozpočet - HW a licencie'!$C$3:$C$105,"HW",'Rozpočet - HW a licencie'!$G$3:$G$105,'TCO TO BE - HW'!$D9,'Rozpočet - HW a licencie'!$D$3:$D$105,'TCO TO BE - HW'!$B$5)+SUMIFS('Rozpočet - HW a licencie'!$I$3:$I$105,'Rozpočet - HW a licencie'!$A$3:$A$105,'TCO TO BE - HW'!Z$2,'Rozpočet - HW a licencie'!$C$3:$C$105,"SW pre HW",'Rozpočet - HW a licencie'!$G$3:$G$105,'TCO TO BE - HW'!$D9,'Rozpočet - HW a licencie'!$D$3:$D$105,'TCO TO BE - HW'!$B$5),)</f>
        <v>0</v>
      </c>
    </row>
    <row r="10" spans="1:26" outlineLevel="1">
      <c r="A10" s="824"/>
      <c r="B10" s="825"/>
      <c r="C10" s="825"/>
      <c r="D10" s="498">
        <v>6</v>
      </c>
      <c r="E10" s="68">
        <f t="shared" si="2"/>
        <v>0</v>
      </c>
      <c r="F10" s="577">
        <f>IFERROR(SUMIFS('Rozpočet - HW a licencie'!$I$3:$I$105,'Rozpočet - HW a licencie'!$A$3:$A$105,'TCO TO BE - HW'!F$2,'Rozpočet - HW a licencie'!$C$3:$C$105,"HW",'Rozpočet - HW a licencie'!$G$3:$G$105,'TCO TO BE - HW'!$D10,'Rozpočet - HW a licencie'!$D$3:$D$105,'TCO TO BE - HW'!$B$5)+SUMIFS('Rozpočet - HW a licencie'!$I$3:$I$105,'Rozpočet - HW a licencie'!$A$3:$A$105,'TCO TO BE - HW'!F$2,'Rozpočet - HW a licencie'!$C$3:$C$105,"SW pre HW",'Rozpočet - HW a licencie'!$G$3:$G$105,'TCO TO BE - HW'!$D10,'Rozpočet - HW a licencie'!$D$3:$D$105,'TCO TO BE - HW'!$B$5),)</f>
        <v>0</v>
      </c>
      <c r="G10" s="577">
        <f>IFERROR(SUMIFS('Rozpočet - HW a licencie'!$I$3:$I$105,'Rozpočet - HW a licencie'!$A$3:$A$105,'TCO TO BE - HW'!G$2,'Rozpočet - HW a licencie'!$C$3:$C$105,"HW",'Rozpočet - HW a licencie'!$G$3:$G$105,'TCO TO BE - HW'!$D10,'Rozpočet - HW a licencie'!$D$3:$D$105,'TCO TO BE - HW'!$B$5)+SUMIFS('Rozpočet - HW a licencie'!$I$3:$I$105,'Rozpočet - HW a licencie'!$A$3:$A$105,'TCO TO BE - HW'!G$2,'Rozpočet - HW a licencie'!$C$3:$C$105,"SW pre HW",'Rozpočet - HW a licencie'!$G$3:$G$105,'TCO TO BE - HW'!$D10,'Rozpočet - HW a licencie'!$D$3:$D$105,'TCO TO BE - HW'!$B$5),)</f>
        <v>0</v>
      </c>
      <c r="H10" s="577">
        <f>IFERROR(SUMIFS('Rozpočet - HW a licencie'!$I$3:$I$105,'Rozpočet - HW a licencie'!$A$3:$A$105,'TCO TO BE - HW'!H$2,'Rozpočet - HW a licencie'!$C$3:$C$105,"HW",'Rozpočet - HW a licencie'!$G$3:$G$105,'TCO TO BE - HW'!$D10,'Rozpočet - HW a licencie'!$D$3:$D$105,'TCO TO BE - HW'!$B$5)+SUMIFS('Rozpočet - HW a licencie'!$I$3:$I$105,'Rozpočet - HW a licencie'!$A$3:$A$105,'TCO TO BE - HW'!H$2,'Rozpočet - HW a licencie'!$C$3:$C$105,"SW pre HW",'Rozpočet - HW a licencie'!$G$3:$G$105,'TCO TO BE - HW'!$D10,'Rozpočet - HW a licencie'!$D$3:$D$105,'TCO TO BE - HW'!$B$5),)</f>
        <v>0</v>
      </c>
      <c r="I10" s="577">
        <f>IFERROR(SUMIFS('Rozpočet - HW a licencie'!$I$3:$I$105,'Rozpočet - HW a licencie'!$A$3:$A$105,'TCO TO BE - HW'!I$2,'Rozpočet - HW a licencie'!$C$3:$C$105,"HW",'Rozpočet - HW a licencie'!$G$3:$G$105,'TCO TO BE - HW'!$D10,'Rozpočet - HW a licencie'!$D$3:$D$105,'TCO TO BE - HW'!$B$5)+SUMIFS('Rozpočet - HW a licencie'!$I$3:$I$105,'Rozpočet - HW a licencie'!$A$3:$A$105,'TCO TO BE - HW'!I$2,'Rozpočet - HW a licencie'!$C$3:$C$105,"SW pre HW",'Rozpočet - HW a licencie'!$G$3:$G$105,'TCO TO BE - HW'!$D10,'Rozpočet - HW a licencie'!$D$3:$D$105,'TCO TO BE - HW'!$B$5),)</f>
        <v>0</v>
      </c>
      <c r="J10" s="577">
        <f>IFERROR(SUMIFS('Rozpočet - HW a licencie'!$I$3:$I$105,'Rozpočet - HW a licencie'!$A$3:$A$105,'TCO TO BE - HW'!J$2,'Rozpočet - HW a licencie'!$C$3:$C$105,"HW",'Rozpočet - HW a licencie'!$G$3:$G$105,'TCO TO BE - HW'!$D10,'Rozpočet - HW a licencie'!$D$3:$D$105,'TCO TO BE - HW'!$B$5)+SUMIFS('Rozpočet - HW a licencie'!$I$3:$I$105,'Rozpočet - HW a licencie'!$A$3:$A$105,'TCO TO BE - HW'!J$2,'Rozpočet - HW a licencie'!$C$3:$C$105,"SW pre HW",'Rozpočet - HW a licencie'!$G$3:$G$105,'TCO TO BE - HW'!$D10,'Rozpočet - HW a licencie'!$D$3:$D$105,'TCO TO BE - HW'!$B$5),)</f>
        <v>0</v>
      </c>
      <c r="K10" s="577">
        <f>IFERROR(SUMIFS('Rozpočet - HW a licencie'!$I$3:$I$105,'Rozpočet - HW a licencie'!$A$3:$A$105,'TCO TO BE - HW'!K$2,'Rozpočet - HW a licencie'!$C$3:$C$105,"HW",'Rozpočet - HW a licencie'!$G$3:$G$105,'TCO TO BE - HW'!$D10,'Rozpočet - HW a licencie'!$D$3:$D$105,'TCO TO BE - HW'!$B$5)+SUMIFS('Rozpočet - HW a licencie'!$I$3:$I$105,'Rozpočet - HW a licencie'!$A$3:$A$105,'TCO TO BE - HW'!K$2,'Rozpočet - HW a licencie'!$C$3:$C$105,"SW pre HW",'Rozpočet - HW a licencie'!$G$3:$G$105,'TCO TO BE - HW'!$D10,'Rozpočet - HW a licencie'!$D$3:$D$105,'TCO TO BE - HW'!$B$5),)</f>
        <v>0</v>
      </c>
      <c r="L10" s="577">
        <f>IFERROR(SUMIFS('Rozpočet - HW a licencie'!$I$3:$I$105,'Rozpočet - HW a licencie'!$A$3:$A$105,'TCO TO BE - HW'!L$2,'Rozpočet - HW a licencie'!$C$3:$C$105,"HW",'Rozpočet - HW a licencie'!$G$3:$G$105,'TCO TO BE - HW'!$D10,'Rozpočet - HW a licencie'!$D$3:$D$105,'TCO TO BE - HW'!$B$5)+SUMIFS('Rozpočet - HW a licencie'!$I$3:$I$105,'Rozpočet - HW a licencie'!$A$3:$A$105,'TCO TO BE - HW'!L$2,'Rozpočet - HW a licencie'!$C$3:$C$105,"SW pre HW",'Rozpočet - HW a licencie'!$G$3:$G$105,'TCO TO BE - HW'!$D10,'Rozpočet - HW a licencie'!$D$3:$D$105,'TCO TO BE - HW'!$B$5),)</f>
        <v>0</v>
      </c>
      <c r="M10" s="577">
        <f>IFERROR(SUMIFS('Rozpočet - HW a licencie'!$I$3:$I$105,'Rozpočet - HW a licencie'!$A$3:$A$105,'TCO TO BE - HW'!M$2,'Rozpočet - HW a licencie'!$C$3:$C$105,"HW",'Rozpočet - HW a licencie'!$G$3:$G$105,'TCO TO BE - HW'!$D10,'Rozpočet - HW a licencie'!$D$3:$D$105,'TCO TO BE - HW'!$B$5)+SUMIFS('Rozpočet - HW a licencie'!$I$3:$I$105,'Rozpočet - HW a licencie'!$A$3:$A$105,'TCO TO BE - HW'!M$2,'Rozpočet - HW a licencie'!$C$3:$C$105,"SW pre HW",'Rozpočet - HW a licencie'!$G$3:$G$105,'TCO TO BE - HW'!$D10,'Rozpočet - HW a licencie'!$D$3:$D$105,'TCO TO BE - HW'!$B$5),)</f>
        <v>0</v>
      </c>
      <c r="N10" s="577">
        <f>IFERROR(SUMIFS('Rozpočet - HW a licencie'!$I$3:$I$105,'Rozpočet - HW a licencie'!$A$3:$A$105,'TCO TO BE - HW'!N$2,'Rozpočet - HW a licencie'!$C$3:$C$105,"HW",'Rozpočet - HW a licencie'!$G$3:$G$105,'TCO TO BE - HW'!$D10,'Rozpočet - HW a licencie'!$D$3:$D$105,'TCO TO BE - HW'!$B$5)+SUMIFS('Rozpočet - HW a licencie'!$I$3:$I$105,'Rozpočet - HW a licencie'!$A$3:$A$105,'TCO TO BE - HW'!N$2,'Rozpočet - HW a licencie'!$C$3:$C$105,"SW pre HW",'Rozpočet - HW a licencie'!$G$3:$G$105,'TCO TO BE - HW'!$D10,'Rozpočet - HW a licencie'!$D$3:$D$105,'TCO TO BE - HW'!$B$5),)</f>
        <v>0</v>
      </c>
      <c r="O10" s="577">
        <f>IFERROR(SUMIFS('Rozpočet - HW a licencie'!$I$3:$I$105,'Rozpočet - HW a licencie'!$A$3:$A$105,'TCO TO BE - HW'!O$2,'Rozpočet - HW a licencie'!$C$3:$C$105,"HW",'Rozpočet - HW a licencie'!$G$3:$G$105,'TCO TO BE - HW'!$D10,'Rozpočet - HW a licencie'!$D$3:$D$105,'TCO TO BE - HW'!$B$5)+SUMIFS('Rozpočet - HW a licencie'!$I$3:$I$105,'Rozpočet - HW a licencie'!$A$3:$A$105,'TCO TO BE - HW'!O$2,'Rozpočet - HW a licencie'!$C$3:$C$105,"SW pre HW",'Rozpočet - HW a licencie'!$G$3:$G$105,'TCO TO BE - HW'!$D10,'Rozpočet - HW a licencie'!$D$3:$D$105,'TCO TO BE - HW'!$B$5),)</f>
        <v>0</v>
      </c>
      <c r="P10" s="577">
        <f>IFERROR(SUMIFS('Rozpočet - HW a licencie'!$I$3:$I$105,'Rozpočet - HW a licencie'!$A$3:$A$105,'TCO TO BE - HW'!P$2,'Rozpočet - HW a licencie'!$C$3:$C$105,"HW",'Rozpočet - HW a licencie'!$G$3:$G$105,'TCO TO BE - HW'!$D10,'Rozpočet - HW a licencie'!$D$3:$D$105,'TCO TO BE - HW'!$B$5)+SUMIFS('Rozpočet - HW a licencie'!$I$3:$I$105,'Rozpočet - HW a licencie'!$A$3:$A$105,'TCO TO BE - HW'!P$2,'Rozpočet - HW a licencie'!$C$3:$C$105,"SW pre HW",'Rozpočet - HW a licencie'!$G$3:$G$105,'TCO TO BE - HW'!$D10,'Rozpočet - HW a licencie'!$D$3:$D$105,'TCO TO BE - HW'!$B$5),)</f>
        <v>0</v>
      </c>
      <c r="Q10" s="577">
        <f>IFERROR(SUMIFS('Rozpočet - HW a licencie'!$I$3:$I$105,'Rozpočet - HW a licencie'!$A$3:$A$105,'TCO TO BE - HW'!Q$2,'Rozpočet - HW a licencie'!$C$3:$C$105,"HW",'Rozpočet - HW a licencie'!$G$3:$G$105,'TCO TO BE - HW'!$D10,'Rozpočet - HW a licencie'!$D$3:$D$105,'TCO TO BE - HW'!$B$5)+SUMIFS('Rozpočet - HW a licencie'!$I$3:$I$105,'Rozpočet - HW a licencie'!$A$3:$A$105,'TCO TO BE - HW'!Q$2,'Rozpočet - HW a licencie'!$C$3:$C$105,"SW pre HW",'Rozpočet - HW a licencie'!$G$3:$G$105,'TCO TO BE - HW'!$D10,'Rozpočet - HW a licencie'!$D$3:$D$105,'TCO TO BE - HW'!$B$5),)</f>
        <v>0</v>
      </c>
      <c r="R10" s="577">
        <f>IFERROR(SUMIFS('Rozpočet - HW a licencie'!$I$3:$I$105,'Rozpočet - HW a licencie'!$A$3:$A$105,'TCO TO BE - HW'!R$2,'Rozpočet - HW a licencie'!$C$3:$C$105,"HW",'Rozpočet - HW a licencie'!$G$3:$G$105,'TCO TO BE - HW'!$D10,'Rozpočet - HW a licencie'!$D$3:$D$105,'TCO TO BE - HW'!$B$5)+SUMIFS('Rozpočet - HW a licencie'!$I$3:$I$105,'Rozpočet - HW a licencie'!$A$3:$A$105,'TCO TO BE - HW'!R$2,'Rozpočet - HW a licencie'!$C$3:$C$105,"SW pre HW",'Rozpočet - HW a licencie'!$G$3:$G$105,'TCO TO BE - HW'!$D10,'Rozpočet - HW a licencie'!$D$3:$D$105,'TCO TO BE - HW'!$B$5),)</f>
        <v>0</v>
      </c>
      <c r="S10" s="577">
        <f>IFERROR(SUMIFS('Rozpočet - HW a licencie'!$I$3:$I$105,'Rozpočet - HW a licencie'!$A$3:$A$105,'TCO TO BE - HW'!S$2,'Rozpočet - HW a licencie'!$C$3:$C$105,"HW",'Rozpočet - HW a licencie'!$G$3:$G$105,'TCO TO BE - HW'!$D10,'Rozpočet - HW a licencie'!$D$3:$D$105,'TCO TO BE - HW'!$B$5)+SUMIFS('Rozpočet - HW a licencie'!$I$3:$I$105,'Rozpočet - HW a licencie'!$A$3:$A$105,'TCO TO BE - HW'!S$2,'Rozpočet - HW a licencie'!$C$3:$C$105,"SW pre HW",'Rozpočet - HW a licencie'!$G$3:$G$105,'TCO TO BE - HW'!$D10,'Rozpočet - HW a licencie'!$D$3:$D$105,'TCO TO BE - HW'!$B$5),)</f>
        <v>0</v>
      </c>
      <c r="T10" s="577">
        <f>IFERROR(SUMIFS('Rozpočet - HW a licencie'!$I$3:$I$105,'Rozpočet - HW a licencie'!$A$3:$A$105,'TCO TO BE - HW'!T$2,'Rozpočet - HW a licencie'!$C$3:$C$105,"HW",'Rozpočet - HW a licencie'!$G$3:$G$105,'TCO TO BE - HW'!$D10,'Rozpočet - HW a licencie'!$D$3:$D$105,'TCO TO BE - HW'!$B$5)+SUMIFS('Rozpočet - HW a licencie'!$I$3:$I$105,'Rozpočet - HW a licencie'!$A$3:$A$105,'TCO TO BE - HW'!T$2,'Rozpočet - HW a licencie'!$C$3:$C$105,"SW pre HW",'Rozpočet - HW a licencie'!$G$3:$G$105,'TCO TO BE - HW'!$D10,'Rozpočet - HW a licencie'!$D$3:$D$105,'TCO TO BE - HW'!$B$5),)</f>
        <v>0</v>
      </c>
      <c r="U10" s="577">
        <f>IFERROR(SUMIFS('Rozpočet - HW a licencie'!$I$3:$I$105,'Rozpočet - HW a licencie'!$A$3:$A$105,'TCO TO BE - HW'!U$2,'Rozpočet - HW a licencie'!$C$3:$C$105,"HW",'Rozpočet - HW a licencie'!$G$3:$G$105,'TCO TO BE - HW'!$D10,'Rozpočet - HW a licencie'!$D$3:$D$105,'TCO TO BE - HW'!$B$5)+SUMIFS('Rozpočet - HW a licencie'!$I$3:$I$105,'Rozpočet - HW a licencie'!$A$3:$A$105,'TCO TO BE - HW'!U$2,'Rozpočet - HW a licencie'!$C$3:$C$105,"SW pre HW",'Rozpočet - HW a licencie'!$G$3:$G$105,'TCO TO BE - HW'!$D10,'Rozpočet - HW a licencie'!$D$3:$D$105,'TCO TO BE - HW'!$B$5),)</f>
        <v>0</v>
      </c>
      <c r="V10" s="577">
        <f>IFERROR(SUMIFS('Rozpočet - HW a licencie'!$I$3:$I$105,'Rozpočet - HW a licencie'!$A$3:$A$105,'TCO TO BE - HW'!V$2,'Rozpočet - HW a licencie'!$C$3:$C$105,"HW",'Rozpočet - HW a licencie'!$G$3:$G$105,'TCO TO BE - HW'!$D10,'Rozpočet - HW a licencie'!$D$3:$D$105,'TCO TO BE - HW'!$B$5)+SUMIFS('Rozpočet - HW a licencie'!$I$3:$I$105,'Rozpočet - HW a licencie'!$A$3:$A$105,'TCO TO BE - HW'!V$2,'Rozpočet - HW a licencie'!$C$3:$C$105,"SW pre HW",'Rozpočet - HW a licencie'!$G$3:$G$105,'TCO TO BE - HW'!$D10,'Rozpočet - HW a licencie'!$D$3:$D$105,'TCO TO BE - HW'!$B$5),)</f>
        <v>0</v>
      </c>
      <c r="W10" s="577">
        <f>IFERROR(SUMIFS('Rozpočet - HW a licencie'!$I$3:$I$105,'Rozpočet - HW a licencie'!$A$3:$A$105,'TCO TO BE - HW'!W$2,'Rozpočet - HW a licencie'!$C$3:$C$105,"HW",'Rozpočet - HW a licencie'!$G$3:$G$105,'TCO TO BE - HW'!$D10,'Rozpočet - HW a licencie'!$D$3:$D$105,'TCO TO BE - HW'!$B$5)+SUMIFS('Rozpočet - HW a licencie'!$I$3:$I$105,'Rozpočet - HW a licencie'!$A$3:$A$105,'TCO TO BE - HW'!W$2,'Rozpočet - HW a licencie'!$C$3:$C$105,"SW pre HW",'Rozpočet - HW a licencie'!$G$3:$G$105,'TCO TO BE - HW'!$D10,'Rozpočet - HW a licencie'!$D$3:$D$105,'TCO TO BE - HW'!$B$5),)</f>
        <v>0</v>
      </c>
      <c r="X10" s="577">
        <f>IFERROR(SUMIFS('Rozpočet - HW a licencie'!$I$3:$I$105,'Rozpočet - HW a licencie'!$A$3:$A$105,'TCO TO BE - HW'!X$2,'Rozpočet - HW a licencie'!$C$3:$C$105,"HW",'Rozpočet - HW a licencie'!$G$3:$G$105,'TCO TO BE - HW'!$D10,'Rozpočet - HW a licencie'!$D$3:$D$105,'TCO TO BE - HW'!$B$5)+SUMIFS('Rozpočet - HW a licencie'!$I$3:$I$105,'Rozpočet - HW a licencie'!$A$3:$A$105,'TCO TO BE - HW'!X$2,'Rozpočet - HW a licencie'!$C$3:$C$105,"SW pre HW",'Rozpočet - HW a licencie'!$G$3:$G$105,'TCO TO BE - HW'!$D10,'Rozpočet - HW a licencie'!$D$3:$D$105,'TCO TO BE - HW'!$B$5),)</f>
        <v>0</v>
      </c>
      <c r="Y10" s="577">
        <f>IFERROR(SUMIFS('Rozpočet - HW a licencie'!$I$3:$I$105,'Rozpočet - HW a licencie'!$A$3:$A$105,'TCO TO BE - HW'!Y$2,'Rozpočet - HW a licencie'!$C$3:$C$105,"HW",'Rozpočet - HW a licencie'!$G$3:$G$105,'TCO TO BE - HW'!$D10,'Rozpočet - HW a licencie'!$D$3:$D$105,'TCO TO BE - HW'!$B$5)+SUMIFS('Rozpočet - HW a licencie'!$I$3:$I$105,'Rozpočet - HW a licencie'!$A$3:$A$105,'TCO TO BE - HW'!Y$2,'Rozpočet - HW a licencie'!$C$3:$C$105,"SW pre HW",'Rozpočet - HW a licencie'!$G$3:$G$105,'TCO TO BE - HW'!$D10,'Rozpočet - HW a licencie'!$D$3:$D$105,'TCO TO BE - HW'!$B$5),)</f>
        <v>0</v>
      </c>
      <c r="Z10" s="577">
        <f>IFERROR(SUMIFS('Rozpočet - HW a licencie'!$I$3:$I$105,'Rozpočet - HW a licencie'!$A$3:$A$105,'TCO TO BE - HW'!Z$2,'Rozpočet - HW a licencie'!$C$3:$C$105,"HW",'Rozpočet - HW a licencie'!$G$3:$G$105,'TCO TO BE - HW'!$D10,'Rozpočet - HW a licencie'!$D$3:$D$105,'TCO TO BE - HW'!$B$5)+SUMIFS('Rozpočet - HW a licencie'!$I$3:$I$105,'Rozpočet - HW a licencie'!$A$3:$A$105,'TCO TO BE - HW'!Z$2,'Rozpočet - HW a licencie'!$C$3:$C$105,"SW pre HW",'Rozpočet - HW a licencie'!$G$3:$G$105,'TCO TO BE - HW'!$D10,'Rozpočet - HW a licencie'!$D$3:$D$105,'TCO TO BE - HW'!$B$5),)</f>
        <v>0</v>
      </c>
    </row>
    <row r="11" spans="1:26" outlineLevel="1">
      <c r="A11" s="824"/>
      <c r="B11" s="825"/>
      <c r="C11" s="825"/>
      <c r="D11" s="498">
        <v>7</v>
      </c>
      <c r="E11" s="68">
        <f t="shared" si="2"/>
        <v>0</v>
      </c>
      <c r="F11" s="577">
        <f>IFERROR(SUMIFS('Rozpočet - HW a licencie'!$I$3:$I$105,'Rozpočet - HW a licencie'!$A$3:$A$105,'TCO TO BE - HW'!F$2,'Rozpočet - HW a licencie'!$C$3:$C$105,"HW",'Rozpočet - HW a licencie'!$G$3:$G$105,'TCO TO BE - HW'!$D11,'Rozpočet - HW a licencie'!$D$3:$D$105,'TCO TO BE - HW'!$B$5)+SUMIFS('Rozpočet - HW a licencie'!$I$3:$I$105,'Rozpočet - HW a licencie'!$A$3:$A$105,'TCO TO BE - HW'!F$2,'Rozpočet - HW a licencie'!$C$3:$C$105,"SW pre HW",'Rozpočet - HW a licencie'!$G$3:$G$105,'TCO TO BE - HW'!$D11,'Rozpočet - HW a licencie'!$D$3:$D$105,'TCO TO BE - HW'!$B$5),)</f>
        <v>0</v>
      </c>
      <c r="G11" s="577">
        <f>IFERROR(SUMIFS('Rozpočet - HW a licencie'!$I$3:$I$105,'Rozpočet - HW a licencie'!$A$3:$A$105,'TCO TO BE - HW'!G$2,'Rozpočet - HW a licencie'!$C$3:$C$105,"HW",'Rozpočet - HW a licencie'!$G$3:$G$105,'TCO TO BE - HW'!$D11,'Rozpočet - HW a licencie'!$D$3:$D$105,'TCO TO BE - HW'!$B$5)+SUMIFS('Rozpočet - HW a licencie'!$I$3:$I$105,'Rozpočet - HW a licencie'!$A$3:$A$105,'TCO TO BE - HW'!G$2,'Rozpočet - HW a licencie'!$C$3:$C$105,"SW pre HW",'Rozpočet - HW a licencie'!$G$3:$G$105,'TCO TO BE - HW'!$D11,'Rozpočet - HW a licencie'!$D$3:$D$105,'TCO TO BE - HW'!$B$5),)</f>
        <v>0</v>
      </c>
      <c r="H11" s="577">
        <f>IFERROR(SUMIFS('Rozpočet - HW a licencie'!$I$3:$I$105,'Rozpočet - HW a licencie'!$A$3:$A$105,'TCO TO BE - HW'!H$2,'Rozpočet - HW a licencie'!$C$3:$C$105,"HW",'Rozpočet - HW a licencie'!$G$3:$G$105,'TCO TO BE - HW'!$D11,'Rozpočet - HW a licencie'!$D$3:$D$105,'TCO TO BE - HW'!$B$5)+SUMIFS('Rozpočet - HW a licencie'!$I$3:$I$105,'Rozpočet - HW a licencie'!$A$3:$A$105,'TCO TO BE - HW'!H$2,'Rozpočet - HW a licencie'!$C$3:$C$105,"SW pre HW",'Rozpočet - HW a licencie'!$G$3:$G$105,'TCO TO BE - HW'!$D11,'Rozpočet - HW a licencie'!$D$3:$D$105,'TCO TO BE - HW'!$B$5),)</f>
        <v>0</v>
      </c>
      <c r="I11" s="577">
        <f>IFERROR(SUMIFS('Rozpočet - HW a licencie'!$I$3:$I$105,'Rozpočet - HW a licencie'!$A$3:$A$105,'TCO TO BE - HW'!I$2,'Rozpočet - HW a licencie'!$C$3:$C$105,"HW",'Rozpočet - HW a licencie'!$G$3:$G$105,'TCO TO BE - HW'!$D11,'Rozpočet - HW a licencie'!$D$3:$D$105,'TCO TO BE - HW'!$B$5)+SUMIFS('Rozpočet - HW a licencie'!$I$3:$I$105,'Rozpočet - HW a licencie'!$A$3:$A$105,'TCO TO BE - HW'!I$2,'Rozpočet - HW a licencie'!$C$3:$C$105,"SW pre HW",'Rozpočet - HW a licencie'!$G$3:$G$105,'TCO TO BE - HW'!$D11,'Rozpočet - HW a licencie'!$D$3:$D$105,'TCO TO BE - HW'!$B$5),)</f>
        <v>0</v>
      </c>
      <c r="J11" s="577">
        <f>IFERROR(SUMIFS('Rozpočet - HW a licencie'!$I$3:$I$105,'Rozpočet - HW a licencie'!$A$3:$A$105,'TCO TO BE - HW'!J$2,'Rozpočet - HW a licencie'!$C$3:$C$105,"HW",'Rozpočet - HW a licencie'!$G$3:$G$105,'TCO TO BE - HW'!$D11,'Rozpočet - HW a licencie'!$D$3:$D$105,'TCO TO BE - HW'!$B$5)+SUMIFS('Rozpočet - HW a licencie'!$I$3:$I$105,'Rozpočet - HW a licencie'!$A$3:$A$105,'TCO TO BE - HW'!J$2,'Rozpočet - HW a licencie'!$C$3:$C$105,"SW pre HW",'Rozpočet - HW a licencie'!$G$3:$G$105,'TCO TO BE - HW'!$D11,'Rozpočet - HW a licencie'!$D$3:$D$105,'TCO TO BE - HW'!$B$5),)</f>
        <v>0</v>
      </c>
      <c r="K11" s="577">
        <f>IFERROR(SUMIFS('Rozpočet - HW a licencie'!$I$3:$I$105,'Rozpočet - HW a licencie'!$A$3:$A$105,'TCO TO BE - HW'!K$2,'Rozpočet - HW a licencie'!$C$3:$C$105,"HW",'Rozpočet - HW a licencie'!$G$3:$G$105,'TCO TO BE - HW'!$D11,'Rozpočet - HW a licencie'!$D$3:$D$105,'TCO TO BE - HW'!$B$5)+SUMIFS('Rozpočet - HW a licencie'!$I$3:$I$105,'Rozpočet - HW a licencie'!$A$3:$A$105,'TCO TO BE - HW'!K$2,'Rozpočet - HW a licencie'!$C$3:$C$105,"SW pre HW",'Rozpočet - HW a licencie'!$G$3:$G$105,'TCO TO BE - HW'!$D11,'Rozpočet - HW a licencie'!$D$3:$D$105,'TCO TO BE - HW'!$B$5),)</f>
        <v>0</v>
      </c>
      <c r="L11" s="577">
        <f>IFERROR(SUMIFS('Rozpočet - HW a licencie'!$I$3:$I$105,'Rozpočet - HW a licencie'!$A$3:$A$105,'TCO TO BE - HW'!L$2,'Rozpočet - HW a licencie'!$C$3:$C$105,"HW",'Rozpočet - HW a licencie'!$G$3:$G$105,'TCO TO BE - HW'!$D11,'Rozpočet - HW a licencie'!$D$3:$D$105,'TCO TO BE - HW'!$B$5)+SUMIFS('Rozpočet - HW a licencie'!$I$3:$I$105,'Rozpočet - HW a licencie'!$A$3:$A$105,'TCO TO BE - HW'!L$2,'Rozpočet - HW a licencie'!$C$3:$C$105,"SW pre HW",'Rozpočet - HW a licencie'!$G$3:$G$105,'TCO TO BE - HW'!$D11,'Rozpočet - HW a licencie'!$D$3:$D$105,'TCO TO BE - HW'!$B$5),)</f>
        <v>0</v>
      </c>
      <c r="M11" s="577">
        <f>IFERROR(SUMIFS('Rozpočet - HW a licencie'!$I$3:$I$105,'Rozpočet - HW a licencie'!$A$3:$A$105,'TCO TO BE - HW'!M$2,'Rozpočet - HW a licencie'!$C$3:$C$105,"HW",'Rozpočet - HW a licencie'!$G$3:$G$105,'TCO TO BE - HW'!$D11,'Rozpočet - HW a licencie'!$D$3:$D$105,'TCO TO BE - HW'!$B$5)+SUMIFS('Rozpočet - HW a licencie'!$I$3:$I$105,'Rozpočet - HW a licencie'!$A$3:$A$105,'TCO TO BE - HW'!M$2,'Rozpočet - HW a licencie'!$C$3:$C$105,"SW pre HW",'Rozpočet - HW a licencie'!$G$3:$G$105,'TCO TO BE - HW'!$D11,'Rozpočet - HW a licencie'!$D$3:$D$105,'TCO TO BE - HW'!$B$5),)</f>
        <v>0</v>
      </c>
      <c r="N11" s="577">
        <f>IFERROR(SUMIFS('Rozpočet - HW a licencie'!$I$3:$I$105,'Rozpočet - HW a licencie'!$A$3:$A$105,'TCO TO BE - HW'!N$2,'Rozpočet - HW a licencie'!$C$3:$C$105,"HW",'Rozpočet - HW a licencie'!$G$3:$G$105,'TCO TO BE - HW'!$D11,'Rozpočet - HW a licencie'!$D$3:$D$105,'TCO TO BE - HW'!$B$5)+SUMIFS('Rozpočet - HW a licencie'!$I$3:$I$105,'Rozpočet - HW a licencie'!$A$3:$A$105,'TCO TO BE - HW'!N$2,'Rozpočet - HW a licencie'!$C$3:$C$105,"SW pre HW",'Rozpočet - HW a licencie'!$G$3:$G$105,'TCO TO BE - HW'!$D11,'Rozpočet - HW a licencie'!$D$3:$D$105,'TCO TO BE - HW'!$B$5),)</f>
        <v>0</v>
      </c>
      <c r="O11" s="577">
        <f>IFERROR(SUMIFS('Rozpočet - HW a licencie'!$I$3:$I$105,'Rozpočet - HW a licencie'!$A$3:$A$105,'TCO TO BE - HW'!O$2,'Rozpočet - HW a licencie'!$C$3:$C$105,"HW",'Rozpočet - HW a licencie'!$G$3:$G$105,'TCO TO BE - HW'!$D11,'Rozpočet - HW a licencie'!$D$3:$D$105,'TCO TO BE - HW'!$B$5)+SUMIFS('Rozpočet - HW a licencie'!$I$3:$I$105,'Rozpočet - HW a licencie'!$A$3:$A$105,'TCO TO BE - HW'!O$2,'Rozpočet - HW a licencie'!$C$3:$C$105,"SW pre HW",'Rozpočet - HW a licencie'!$G$3:$G$105,'TCO TO BE - HW'!$D11,'Rozpočet - HW a licencie'!$D$3:$D$105,'TCO TO BE - HW'!$B$5),)</f>
        <v>0</v>
      </c>
      <c r="P11" s="577">
        <f>IFERROR(SUMIFS('Rozpočet - HW a licencie'!$I$3:$I$105,'Rozpočet - HW a licencie'!$A$3:$A$105,'TCO TO BE - HW'!P$2,'Rozpočet - HW a licencie'!$C$3:$C$105,"HW",'Rozpočet - HW a licencie'!$G$3:$G$105,'TCO TO BE - HW'!$D11,'Rozpočet - HW a licencie'!$D$3:$D$105,'TCO TO BE - HW'!$B$5)+SUMIFS('Rozpočet - HW a licencie'!$I$3:$I$105,'Rozpočet - HW a licencie'!$A$3:$A$105,'TCO TO BE - HW'!P$2,'Rozpočet - HW a licencie'!$C$3:$C$105,"SW pre HW",'Rozpočet - HW a licencie'!$G$3:$G$105,'TCO TO BE - HW'!$D11,'Rozpočet - HW a licencie'!$D$3:$D$105,'TCO TO BE - HW'!$B$5),)</f>
        <v>0</v>
      </c>
      <c r="Q11" s="577">
        <f>IFERROR(SUMIFS('Rozpočet - HW a licencie'!$I$3:$I$105,'Rozpočet - HW a licencie'!$A$3:$A$105,'TCO TO BE - HW'!Q$2,'Rozpočet - HW a licencie'!$C$3:$C$105,"HW",'Rozpočet - HW a licencie'!$G$3:$G$105,'TCO TO BE - HW'!$D11,'Rozpočet - HW a licencie'!$D$3:$D$105,'TCO TO BE - HW'!$B$5)+SUMIFS('Rozpočet - HW a licencie'!$I$3:$I$105,'Rozpočet - HW a licencie'!$A$3:$A$105,'TCO TO BE - HW'!Q$2,'Rozpočet - HW a licencie'!$C$3:$C$105,"SW pre HW",'Rozpočet - HW a licencie'!$G$3:$G$105,'TCO TO BE - HW'!$D11,'Rozpočet - HW a licencie'!$D$3:$D$105,'TCO TO BE - HW'!$B$5),)</f>
        <v>0</v>
      </c>
      <c r="R11" s="577">
        <f>IFERROR(SUMIFS('Rozpočet - HW a licencie'!$I$3:$I$105,'Rozpočet - HW a licencie'!$A$3:$A$105,'TCO TO BE - HW'!R$2,'Rozpočet - HW a licencie'!$C$3:$C$105,"HW",'Rozpočet - HW a licencie'!$G$3:$G$105,'TCO TO BE - HW'!$D11,'Rozpočet - HW a licencie'!$D$3:$D$105,'TCO TO BE - HW'!$B$5)+SUMIFS('Rozpočet - HW a licencie'!$I$3:$I$105,'Rozpočet - HW a licencie'!$A$3:$A$105,'TCO TO BE - HW'!R$2,'Rozpočet - HW a licencie'!$C$3:$C$105,"SW pre HW",'Rozpočet - HW a licencie'!$G$3:$G$105,'TCO TO BE - HW'!$D11,'Rozpočet - HW a licencie'!$D$3:$D$105,'TCO TO BE - HW'!$B$5),)</f>
        <v>0</v>
      </c>
      <c r="S11" s="577">
        <f>IFERROR(SUMIFS('Rozpočet - HW a licencie'!$I$3:$I$105,'Rozpočet - HW a licencie'!$A$3:$A$105,'TCO TO BE - HW'!S$2,'Rozpočet - HW a licencie'!$C$3:$C$105,"HW",'Rozpočet - HW a licencie'!$G$3:$G$105,'TCO TO BE - HW'!$D11,'Rozpočet - HW a licencie'!$D$3:$D$105,'TCO TO BE - HW'!$B$5)+SUMIFS('Rozpočet - HW a licencie'!$I$3:$I$105,'Rozpočet - HW a licencie'!$A$3:$A$105,'TCO TO BE - HW'!S$2,'Rozpočet - HW a licencie'!$C$3:$C$105,"SW pre HW",'Rozpočet - HW a licencie'!$G$3:$G$105,'TCO TO BE - HW'!$D11,'Rozpočet - HW a licencie'!$D$3:$D$105,'TCO TO BE - HW'!$B$5),)</f>
        <v>0</v>
      </c>
      <c r="T11" s="577">
        <f>IFERROR(SUMIFS('Rozpočet - HW a licencie'!$I$3:$I$105,'Rozpočet - HW a licencie'!$A$3:$A$105,'TCO TO BE - HW'!T$2,'Rozpočet - HW a licencie'!$C$3:$C$105,"HW",'Rozpočet - HW a licencie'!$G$3:$G$105,'TCO TO BE - HW'!$D11,'Rozpočet - HW a licencie'!$D$3:$D$105,'TCO TO BE - HW'!$B$5)+SUMIFS('Rozpočet - HW a licencie'!$I$3:$I$105,'Rozpočet - HW a licencie'!$A$3:$A$105,'TCO TO BE - HW'!T$2,'Rozpočet - HW a licencie'!$C$3:$C$105,"SW pre HW",'Rozpočet - HW a licencie'!$G$3:$G$105,'TCO TO BE - HW'!$D11,'Rozpočet - HW a licencie'!$D$3:$D$105,'TCO TO BE - HW'!$B$5),)</f>
        <v>0</v>
      </c>
      <c r="U11" s="577">
        <f>IFERROR(SUMIFS('Rozpočet - HW a licencie'!$I$3:$I$105,'Rozpočet - HW a licencie'!$A$3:$A$105,'TCO TO BE - HW'!U$2,'Rozpočet - HW a licencie'!$C$3:$C$105,"HW",'Rozpočet - HW a licencie'!$G$3:$G$105,'TCO TO BE - HW'!$D11,'Rozpočet - HW a licencie'!$D$3:$D$105,'TCO TO BE - HW'!$B$5)+SUMIFS('Rozpočet - HW a licencie'!$I$3:$I$105,'Rozpočet - HW a licencie'!$A$3:$A$105,'TCO TO BE - HW'!U$2,'Rozpočet - HW a licencie'!$C$3:$C$105,"SW pre HW",'Rozpočet - HW a licencie'!$G$3:$G$105,'TCO TO BE - HW'!$D11,'Rozpočet - HW a licencie'!$D$3:$D$105,'TCO TO BE - HW'!$B$5),)</f>
        <v>0</v>
      </c>
      <c r="V11" s="577">
        <f>IFERROR(SUMIFS('Rozpočet - HW a licencie'!$I$3:$I$105,'Rozpočet - HW a licencie'!$A$3:$A$105,'TCO TO BE - HW'!V$2,'Rozpočet - HW a licencie'!$C$3:$C$105,"HW",'Rozpočet - HW a licencie'!$G$3:$G$105,'TCO TO BE - HW'!$D11,'Rozpočet - HW a licencie'!$D$3:$D$105,'TCO TO BE - HW'!$B$5)+SUMIFS('Rozpočet - HW a licencie'!$I$3:$I$105,'Rozpočet - HW a licencie'!$A$3:$A$105,'TCO TO BE - HW'!V$2,'Rozpočet - HW a licencie'!$C$3:$C$105,"SW pre HW",'Rozpočet - HW a licencie'!$G$3:$G$105,'TCO TO BE - HW'!$D11,'Rozpočet - HW a licencie'!$D$3:$D$105,'TCO TO BE - HW'!$B$5),)</f>
        <v>0</v>
      </c>
      <c r="W11" s="577">
        <f>IFERROR(SUMIFS('Rozpočet - HW a licencie'!$I$3:$I$105,'Rozpočet - HW a licencie'!$A$3:$A$105,'TCO TO BE - HW'!W$2,'Rozpočet - HW a licencie'!$C$3:$C$105,"HW",'Rozpočet - HW a licencie'!$G$3:$G$105,'TCO TO BE - HW'!$D11,'Rozpočet - HW a licencie'!$D$3:$D$105,'TCO TO BE - HW'!$B$5)+SUMIFS('Rozpočet - HW a licencie'!$I$3:$I$105,'Rozpočet - HW a licencie'!$A$3:$A$105,'TCO TO BE - HW'!W$2,'Rozpočet - HW a licencie'!$C$3:$C$105,"SW pre HW",'Rozpočet - HW a licencie'!$G$3:$G$105,'TCO TO BE - HW'!$D11,'Rozpočet - HW a licencie'!$D$3:$D$105,'TCO TO BE - HW'!$B$5),)</f>
        <v>0</v>
      </c>
      <c r="X11" s="577">
        <f>IFERROR(SUMIFS('Rozpočet - HW a licencie'!$I$3:$I$105,'Rozpočet - HW a licencie'!$A$3:$A$105,'TCO TO BE - HW'!X$2,'Rozpočet - HW a licencie'!$C$3:$C$105,"HW",'Rozpočet - HW a licencie'!$G$3:$G$105,'TCO TO BE - HW'!$D11,'Rozpočet - HW a licencie'!$D$3:$D$105,'TCO TO BE - HW'!$B$5)+SUMIFS('Rozpočet - HW a licencie'!$I$3:$I$105,'Rozpočet - HW a licencie'!$A$3:$A$105,'TCO TO BE - HW'!X$2,'Rozpočet - HW a licencie'!$C$3:$C$105,"SW pre HW",'Rozpočet - HW a licencie'!$G$3:$G$105,'TCO TO BE - HW'!$D11,'Rozpočet - HW a licencie'!$D$3:$D$105,'TCO TO BE - HW'!$B$5),)</f>
        <v>0</v>
      </c>
      <c r="Y11" s="577">
        <f>IFERROR(SUMIFS('Rozpočet - HW a licencie'!$I$3:$I$105,'Rozpočet - HW a licencie'!$A$3:$A$105,'TCO TO BE - HW'!Y$2,'Rozpočet - HW a licencie'!$C$3:$C$105,"HW",'Rozpočet - HW a licencie'!$G$3:$G$105,'TCO TO BE - HW'!$D11,'Rozpočet - HW a licencie'!$D$3:$D$105,'TCO TO BE - HW'!$B$5)+SUMIFS('Rozpočet - HW a licencie'!$I$3:$I$105,'Rozpočet - HW a licencie'!$A$3:$A$105,'TCO TO BE - HW'!Y$2,'Rozpočet - HW a licencie'!$C$3:$C$105,"SW pre HW",'Rozpočet - HW a licencie'!$G$3:$G$105,'TCO TO BE - HW'!$D11,'Rozpočet - HW a licencie'!$D$3:$D$105,'TCO TO BE - HW'!$B$5),)</f>
        <v>0</v>
      </c>
      <c r="Z11" s="577">
        <f>IFERROR(SUMIFS('Rozpočet - HW a licencie'!$I$3:$I$105,'Rozpočet - HW a licencie'!$A$3:$A$105,'TCO TO BE - HW'!Z$2,'Rozpočet - HW a licencie'!$C$3:$C$105,"HW",'Rozpočet - HW a licencie'!$G$3:$G$105,'TCO TO BE - HW'!$D11,'Rozpočet - HW a licencie'!$D$3:$D$105,'TCO TO BE - HW'!$B$5)+SUMIFS('Rozpočet - HW a licencie'!$I$3:$I$105,'Rozpočet - HW a licencie'!$A$3:$A$105,'TCO TO BE - HW'!Z$2,'Rozpočet - HW a licencie'!$C$3:$C$105,"SW pre HW",'Rozpočet - HW a licencie'!$G$3:$G$105,'TCO TO BE - HW'!$D11,'Rozpočet - HW a licencie'!$D$3:$D$105,'TCO TO BE - HW'!$B$5),)</f>
        <v>0</v>
      </c>
    </row>
    <row r="12" spans="1:26" outlineLevel="1">
      <c r="A12" s="824"/>
      <c r="B12" s="825"/>
      <c r="C12" s="825"/>
      <c r="D12" s="498">
        <v>8</v>
      </c>
      <c r="E12" s="68">
        <f t="shared" si="2"/>
        <v>0</v>
      </c>
      <c r="F12" s="577">
        <f>IFERROR(SUMIFS('Rozpočet - HW a licencie'!$I$3:$I$105,'Rozpočet - HW a licencie'!$A$3:$A$105,'TCO TO BE - HW'!F$2,'Rozpočet - HW a licencie'!$C$3:$C$105,"HW",'Rozpočet - HW a licencie'!$G$3:$G$105,'TCO TO BE - HW'!$D12,'Rozpočet - HW a licencie'!$D$3:$D$105,'TCO TO BE - HW'!$B$5)+SUMIFS('Rozpočet - HW a licencie'!$I$3:$I$105,'Rozpočet - HW a licencie'!$A$3:$A$105,'TCO TO BE - HW'!F$2,'Rozpočet - HW a licencie'!$C$3:$C$105,"SW pre HW",'Rozpočet - HW a licencie'!$G$3:$G$105,'TCO TO BE - HW'!$D12,'Rozpočet - HW a licencie'!$D$3:$D$105,'TCO TO BE - HW'!$B$5),)</f>
        <v>0</v>
      </c>
      <c r="G12" s="577">
        <f>IFERROR(SUMIFS('Rozpočet - HW a licencie'!$I$3:$I$105,'Rozpočet - HW a licencie'!$A$3:$A$105,'TCO TO BE - HW'!G$2,'Rozpočet - HW a licencie'!$C$3:$C$105,"HW",'Rozpočet - HW a licencie'!$G$3:$G$105,'TCO TO BE - HW'!$D12,'Rozpočet - HW a licencie'!$D$3:$D$105,'TCO TO BE - HW'!$B$5)+SUMIFS('Rozpočet - HW a licencie'!$I$3:$I$105,'Rozpočet - HW a licencie'!$A$3:$A$105,'TCO TO BE - HW'!G$2,'Rozpočet - HW a licencie'!$C$3:$C$105,"SW pre HW",'Rozpočet - HW a licencie'!$G$3:$G$105,'TCO TO BE - HW'!$D12,'Rozpočet - HW a licencie'!$D$3:$D$105,'TCO TO BE - HW'!$B$5),)</f>
        <v>0</v>
      </c>
      <c r="H12" s="577">
        <f>IFERROR(SUMIFS('Rozpočet - HW a licencie'!$I$3:$I$105,'Rozpočet - HW a licencie'!$A$3:$A$105,'TCO TO BE - HW'!H$2,'Rozpočet - HW a licencie'!$C$3:$C$105,"HW",'Rozpočet - HW a licencie'!$G$3:$G$105,'TCO TO BE - HW'!$D12,'Rozpočet - HW a licencie'!$D$3:$D$105,'TCO TO BE - HW'!$B$5)+SUMIFS('Rozpočet - HW a licencie'!$I$3:$I$105,'Rozpočet - HW a licencie'!$A$3:$A$105,'TCO TO BE - HW'!H$2,'Rozpočet - HW a licencie'!$C$3:$C$105,"SW pre HW",'Rozpočet - HW a licencie'!$G$3:$G$105,'TCO TO BE - HW'!$D12,'Rozpočet - HW a licencie'!$D$3:$D$105,'TCO TO BE - HW'!$B$5),)</f>
        <v>0</v>
      </c>
      <c r="I12" s="577">
        <f>IFERROR(SUMIFS('Rozpočet - HW a licencie'!$I$3:$I$105,'Rozpočet - HW a licencie'!$A$3:$A$105,'TCO TO BE - HW'!I$2,'Rozpočet - HW a licencie'!$C$3:$C$105,"HW",'Rozpočet - HW a licencie'!$G$3:$G$105,'TCO TO BE - HW'!$D12,'Rozpočet - HW a licencie'!$D$3:$D$105,'TCO TO BE - HW'!$B$5)+SUMIFS('Rozpočet - HW a licencie'!$I$3:$I$105,'Rozpočet - HW a licencie'!$A$3:$A$105,'TCO TO BE - HW'!I$2,'Rozpočet - HW a licencie'!$C$3:$C$105,"SW pre HW",'Rozpočet - HW a licencie'!$G$3:$G$105,'TCO TO BE - HW'!$D12,'Rozpočet - HW a licencie'!$D$3:$D$105,'TCO TO BE - HW'!$B$5),)</f>
        <v>0</v>
      </c>
      <c r="J12" s="577">
        <f>IFERROR(SUMIFS('Rozpočet - HW a licencie'!$I$3:$I$105,'Rozpočet - HW a licencie'!$A$3:$A$105,'TCO TO BE - HW'!J$2,'Rozpočet - HW a licencie'!$C$3:$C$105,"HW",'Rozpočet - HW a licencie'!$G$3:$G$105,'TCO TO BE - HW'!$D12,'Rozpočet - HW a licencie'!$D$3:$D$105,'TCO TO BE - HW'!$B$5)+SUMIFS('Rozpočet - HW a licencie'!$I$3:$I$105,'Rozpočet - HW a licencie'!$A$3:$A$105,'TCO TO BE - HW'!J$2,'Rozpočet - HW a licencie'!$C$3:$C$105,"SW pre HW",'Rozpočet - HW a licencie'!$G$3:$G$105,'TCO TO BE - HW'!$D12,'Rozpočet - HW a licencie'!$D$3:$D$105,'TCO TO BE - HW'!$B$5),)</f>
        <v>0</v>
      </c>
      <c r="K12" s="577">
        <f>IFERROR(SUMIFS('Rozpočet - HW a licencie'!$I$3:$I$105,'Rozpočet - HW a licencie'!$A$3:$A$105,'TCO TO BE - HW'!K$2,'Rozpočet - HW a licencie'!$C$3:$C$105,"HW",'Rozpočet - HW a licencie'!$G$3:$G$105,'TCO TO BE - HW'!$D12,'Rozpočet - HW a licencie'!$D$3:$D$105,'TCO TO BE - HW'!$B$5)+SUMIFS('Rozpočet - HW a licencie'!$I$3:$I$105,'Rozpočet - HW a licencie'!$A$3:$A$105,'TCO TO BE - HW'!K$2,'Rozpočet - HW a licencie'!$C$3:$C$105,"SW pre HW",'Rozpočet - HW a licencie'!$G$3:$G$105,'TCO TO BE - HW'!$D12,'Rozpočet - HW a licencie'!$D$3:$D$105,'TCO TO BE - HW'!$B$5),)</f>
        <v>0</v>
      </c>
      <c r="L12" s="577">
        <f>IFERROR(SUMIFS('Rozpočet - HW a licencie'!$I$3:$I$105,'Rozpočet - HW a licencie'!$A$3:$A$105,'TCO TO BE - HW'!L$2,'Rozpočet - HW a licencie'!$C$3:$C$105,"HW",'Rozpočet - HW a licencie'!$G$3:$G$105,'TCO TO BE - HW'!$D12,'Rozpočet - HW a licencie'!$D$3:$D$105,'TCO TO BE - HW'!$B$5)+SUMIFS('Rozpočet - HW a licencie'!$I$3:$I$105,'Rozpočet - HW a licencie'!$A$3:$A$105,'TCO TO BE - HW'!L$2,'Rozpočet - HW a licencie'!$C$3:$C$105,"SW pre HW",'Rozpočet - HW a licencie'!$G$3:$G$105,'TCO TO BE - HW'!$D12,'Rozpočet - HW a licencie'!$D$3:$D$105,'TCO TO BE - HW'!$B$5),)</f>
        <v>0</v>
      </c>
      <c r="M12" s="577">
        <f>IFERROR(SUMIFS('Rozpočet - HW a licencie'!$I$3:$I$105,'Rozpočet - HW a licencie'!$A$3:$A$105,'TCO TO BE - HW'!M$2,'Rozpočet - HW a licencie'!$C$3:$C$105,"HW",'Rozpočet - HW a licencie'!$G$3:$G$105,'TCO TO BE - HW'!$D12,'Rozpočet - HW a licencie'!$D$3:$D$105,'TCO TO BE - HW'!$B$5)+SUMIFS('Rozpočet - HW a licencie'!$I$3:$I$105,'Rozpočet - HW a licencie'!$A$3:$A$105,'TCO TO BE - HW'!M$2,'Rozpočet - HW a licencie'!$C$3:$C$105,"SW pre HW",'Rozpočet - HW a licencie'!$G$3:$G$105,'TCO TO BE - HW'!$D12,'Rozpočet - HW a licencie'!$D$3:$D$105,'TCO TO BE - HW'!$B$5),)</f>
        <v>0</v>
      </c>
      <c r="N12" s="577">
        <f>IFERROR(SUMIFS('Rozpočet - HW a licencie'!$I$3:$I$105,'Rozpočet - HW a licencie'!$A$3:$A$105,'TCO TO BE - HW'!N$2,'Rozpočet - HW a licencie'!$C$3:$C$105,"HW",'Rozpočet - HW a licencie'!$G$3:$G$105,'TCO TO BE - HW'!$D12,'Rozpočet - HW a licencie'!$D$3:$D$105,'TCO TO BE - HW'!$B$5)+SUMIFS('Rozpočet - HW a licencie'!$I$3:$I$105,'Rozpočet - HW a licencie'!$A$3:$A$105,'TCO TO BE - HW'!N$2,'Rozpočet - HW a licencie'!$C$3:$C$105,"SW pre HW",'Rozpočet - HW a licencie'!$G$3:$G$105,'TCO TO BE - HW'!$D12,'Rozpočet - HW a licencie'!$D$3:$D$105,'TCO TO BE - HW'!$B$5),)</f>
        <v>0</v>
      </c>
      <c r="O12" s="577">
        <f>IFERROR(SUMIFS('Rozpočet - HW a licencie'!$I$3:$I$105,'Rozpočet - HW a licencie'!$A$3:$A$105,'TCO TO BE - HW'!O$2,'Rozpočet - HW a licencie'!$C$3:$C$105,"HW",'Rozpočet - HW a licencie'!$G$3:$G$105,'TCO TO BE - HW'!$D12,'Rozpočet - HW a licencie'!$D$3:$D$105,'TCO TO BE - HW'!$B$5)+SUMIFS('Rozpočet - HW a licencie'!$I$3:$I$105,'Rozpočet - HW a licencie'!$A$3:$A$105,'TCO TO BE - HW'!O$2,'Rozpočet - HW a licencie'!$C$3:$C$105,"SW pre HW",'Rozpočet - HW a licencie'!$G$3:$G$105,'TCO TO BE - HW'!$D12,'Rozpočet - HW a licencie'!$D$3:$D$105,'TCO TO BE - HW'!$B$5),)</f>
        <v>0</v>
      </c>
      <c r="P12" s="577">
        <f>IFERROR(SUMIFS('Rozpočet - HW a licencie'!$I$3:$I$105,'Rozpočet - HW a licencie'!$A$3:$A$105,'TCO TO BE - HW'!P$2,'Rozpočet - HW a licencie'!$C$3:$C$105,"HW",'Rozpočet - HW a licencie'!$G$3:$G$105,'TCO TO BE - HW'!$D12,'Rozpočet - HW a licencie'!$D$3:$D$105,'TCO TO BE - HW'!$B$5)+SUMIFS('Rozpočet - HW a licencie'!$I$3:$I$105,'Rozpočet - HW a licencie'!$A$3:$A$105,'TCO TO BE - HW'!P$2,'Rozpočet - HW a licencie'!$C$3:$C$105,"SW pre HW",'Rozpočet - HW a licencie'!$G$3:$G$105,'TCO TO BE - HW'!$D12,'Rozpočet - HW a licencie'!$D$3:$D$105,'TCO TO BE - HW'!$B$5),)</f>
        <v>0</v>
      </c>
      <c r="Q12" s="577">
        <f>IFERROR(SUMIFS('Rozpočet - HW a licencie'!$I$3:$I$105,'Rozpočet - HW a licencie'!$A$3:$A$105,'TCO TO BE - HW'!Q$2,'Rozpočet - HW a licencie'!$C$3:$C$105,"HW",'Rozpočet - HW a licencie'!$G$3:$G$105,'TCO TO BE - HW'!$D12,'Rozpočet - HW a licencie'!$D$3:$D$105,'TCO TO BE - HW'!$B$5)+SUMIFS('Rozpočet - HW a licencie'!$I$3:$I$105,'Rozpočet - HW a licencie'!$A$3:$A$105,'TCO TO BE - HW'!Q$2,'Rozpočet - HW a licencie'!$C$3:$C$105,"SW pre HW",'Rozpočet - HW a licencie'!$G$3:$G$105,'TCO TO BE - HW'!$D12,'Rozpočet - HW a licencie'!$D$3:$D$105,'TCO TO BE - HW'!$B$5),)</f>
        <v>0</v>
      </c>
      <c r="R12" s="577">
        <f>IFERROR(SUMIFS('Rozpočet - HW a licencie'!$I$3:$I$105,'Rozpočet - HW a licencie'!$A$3:$A$105,'TCO TO BE - HW'!R$2,'Rozpočet - HW a licencie'!$C$3:$C$105,"HW",'Rozpočet - HW a licencie'!$G$3:$G$105,'TCO TO BE - HW'!$D12,'Rozpočet - HW a licencie'!$D$3:$D$105,'TCO TO BE - HW'!$B$5)+SUMIFS('Rozpočet - HW a licencie'!$I$3:$I$105,'Rozpočet - HW a licencie'!$A$3:$A$105,'TCO TO BE - HW'!R$2,'Rozpočet - HW a licencie'!$C$3:$C$105,"SW pre HW",'Rozpočet - HW a licencie'!$G$3:$G$105,'TCO TO BE - HW'!$D12,'Rozpočet - HW a licencie'!$D$3:$D$105,'TCO TO BE - HW'!$B$5),)</f>
        <v>0</v>
      </c>
      <c r="S12" s="577">
        <f>IFERROR(SUMIFS('Rozpočet - HW a licencie'!$I$3:$I$105,'Rozpočet - HW a licencie'!$A$3:$A$105,'TCO TO BE - HW'!S$2,'Rozpočet - HW a licencie'!$C$3:$C$105,"HW",'Rozpočet - HW a licencie'!$G$3:$G$105,'TCO TO BE - HW'!$D12,'Rozpočet - HW a licencie'!$D$3:$D$105,'TCO TO BE - HW'!$B$5)+SUMIFS('Rozpočet - HW a licencie'!$I$3:$I$105,'Rozpočet - HW a licencie'!$A$3:$A$105,'TCO TO BE - HW'!S$2,'Rozpočet - HW a licencie'!$C$3:$C$105,"SW pre HW",'Rozpočet - HW a licencie'!$G$3:$G$105,'TCO TO BE - HW'!$D12,'Rozpočet - HW a licencie'!$D$3:$D$105,'TCO TO BE - HW'!$B$5),)</f>
        <v>0</v>
      </c>
      <c r="T12" s="577">
        <f>IFERROR(SUMIFS('Rozpočet - HW a licencie'!$I$3:$I$105,'Rozpočet - HW a licencie'!$A$3:$A$105,'TCO TO BE - HW'!T$2,'Rozpočet - HW a licencie'!$C$3:$C$105,"HW",'Rozpočet - HW a licencie'!$G$3:$G$105,'TCO TO BE - HW'!$D12,'Rozpočet - HW a licencie'!$D$3:$D$105,'TCO TO BE - HW'!$B$5)+SUMIFS('Rozpočet - HW a licencie'!$I$3:$I$105,'Rozpočet - HW a licencie'!$A$3:$A$105,'TCO TO BE - HW'!T$2,'Rozpočet - HW a licencie'!$C$3:$C$105,"SW pre HW",'Rozpočet - HW a licencie'!$G$3:$G$105,'TCO TO BE - HW'!$D12,'Rozpočet - HW a licencie'!$D$3:$D$105,'TCO TO BE - HW'!$B$5),)</f>
        <v>0</v>
      </c>
      <c r="U12" s="577">
        <f>IFERROR(SUMIFS('Rozpočet - HW a licencie'!$I$3:$I$105,'Rozpočet - HW a licencie'!$A$3:$A$105,'TCO TO BE - HW'!U$2,'Rozpočet - HW a licencie'!$C$3:$C$105,"HW",'Rozpočet - HW a licencie'!$G$3:$G$105,'TCO TO BE - HW'!$D12,'Rozpočet - HW a licencie'!$D$3:$D$105,'TCO TO BE - HW'!$B$5)+SUMIFS('Rozpočet - HW a licencie'!$I$3:$I$105,'Rozpočet - HW a licencie'!$A$3:$A$105,'TCO TO BE - HW'!U$2,'Rozpočet - HW a licencie'!$C$3:$C$105,"SW pre HW",'Rozpočet - HW a licencie'!$G$3:$G$105,'TCO TO BE - HW'!$D12,'Rozpočet - HW a licencie'!$D$3:$D$105,'TCO TO BE - HW'!$B$5),)</f>
        <v>0</v>
      </c>
      <c r="V12" s="577">
        <f>IFERROR(SUMIFS('Rozpočet - HW a licencie'!$I$3:$I$105,'Rozpočet - HW a licencie'!$A$3:$A$105,'TCO TO BE - HW'!V$2,'Rozpočet - HW a licencie'!$C$3:$C$105,"HW",'Rozpočet - HW a licencie'!$G$3:$G$105,'TCO TO BE - HW'!$D12,'Rozpočet - HW a licencie'!$D$3:$D$105,'TCO TO BE - HW'!$B$5)+SUMIFS('Rozpočet - HW a licencie'!$I$3:$I$105,'Rozpočet - HW a licencie'!$A$3:$A$105,'TCO TO BE - HW'!V$2,'Rozpočet - HW a licencie'!$C$3:$C$105,"SW pre HW",'Rozpočet - HW a licencie'!$G$3:$G$105,'TCO TO BE - HW'!$D12,'Rozpočet - HW a licencie'!$D$3:$D$105,'TCO TO BE - HW'!$B$5),)</f>
        <v>0</v>
      </c>
      <c r="W12" s="577">
        <f>IFERROR(SUMIFS('Rozpočet - HW a licencie'!$I$3:$I$105,'Rozpočet - HW a licencie'!$A$3:$A$105,'TCO TO BE - HW'!W$2,'Rozpočet - HW a licencie'!$C$3:$C$105,"HW",'Rozpočet - HW a licencie'!$G$3:$G$105,'TCO TO BE - HW'!$D12,'Rozpočet - HW a licencie'!$D$3:$D$105,'TCO TO BE - HW'!$B$5)+SUMIFS('Rozpočet - HW a licencie'!$I$3:$I$105,'Rozpočet - HW a licencie'!$A$3:$A$105,'TCO TO BE - HW'!W$2,'Rozpočet - HW a licencie'!$C$3:$C$105,"SW pre HW",'Rozpočet - HW a licencie'!$G$3:$G$105,'TCO TO BE - HW'!$D12,'Rozpočet - HW a licencie'!$D$3:$D$105,'TCO TO BE - HW'!$B$5),)</f>
        <v>0</v>
      </c>
      <c r="X12" s="577">
        <f>IFERROR(SUMIFS('Rozpočet - HW a licencie'!$I$3:$I$105,'Rozpočet - HW a licencie'!$A$3:$A$105,'TCO TO BE - HW'!X$2,'Rozpočet - HW a licencie'!$C$3:$C$105,"HW",'Rozpočet - HW a licencie'!$G$3:$G$105,'TCO TO BE - HW'!$D12,'Rozpočet - HW a licencie'!$D$3:$D$105,'TCO TO BE - HW'!$B$5)+SUMIFS('Rozpočet - HW a licencie'!$I$3:$I$105,'Rozpočet - HW a licencie'!$A$3:$A$105,'TCO TO BE - HW'!X$2,'Rozpočet - HW a licencie'!$C$3:$C$105,"SW pre HW",'Rozpočet - HW a licencie'!$G$3:$G$105,'TCO TO BE - HW'!$D12,'Rozpočet - HW a licencie'!$D$3:$D$105,'TCO TO BE - HW'!$B$5),)</f>
        <v>0</v>
      </c>
      <c r="Y12" s="577">
        <f>IFERROR(SUMIFS('Rozpočet - HW a licencie'!$I$3:$I$105,'Rozpočet - HW a licencie'!$A$3:$A$105,'TCO TO BE - HW'!Y$2,'Rozpočet - HW a licencie'!$C$3:$C$105,"HW",'Rozpočet - HW a licencie'!$G$3:$G$105,'TCO TO BE - HW'!$D12,'Rozpočet - HW a licencie'!$D$3:$D$105,'TCO TO BE - HW'!$B$5)+SUMIFS('Rozpočet - HW a licencie'!$I$3:$I$105,'Rozpočet - HW a licencie'!$A$3:$A$105,'TCO TO BE - HW'!Y$2,'Rozpočet - HW a licencie'!$C$3:$C$105,"SW pre HW",'Rozpočet - HW a licencie'!$G$3:$G$105,'TCO TO BE - HW'!$D12,'Rozpočet - HW a licencie'!$D$3:$D$105,'TCO TO BE - HW'!$B$5),)</f>
        <v>0</v>
      </c>
      <c r="Z12" s="577">
        <f>IFERROR(SUMIFS('Rozpočet - HW a licencie'!$I$3:$I$105,'Rozpočet - HW a licencie'!$A$3:$A$105,'TCO TO BE - HW'!Z$2,'Rozpočet - HW a licencie'!$C$3:$C$105,"HW",'Rozpočet - HW a licencie'!$G$3:$G$105,'TCO TO BE - HW'!$D12,'Rozpočet - HW a licencie'!$D$3:$D$105,'TCO TO BE - HW'!$B$5)+SUMIFS('Rozpočet - HW a licencie'!$I$3:$I$105,'Rozpočet - HW a licencie'!$A$3:$A$105,'TCO TO BE - HW'!Z$2,'Rozpočet - HW a licencie'!$C$3:$C$105,"SW pre HW",'Rozpočet - HW a licencie'!$G$3:$G$105,'TCO TO BE - HW'!$D12,'Rozpočet - HW a licencie'!$D$3:$D$105,'TCO TO BE - HW'!$B$5),)</f>
        <v>0</v>
      </c>
    </row>
    <row r="13" spans="1:26" outlineLevel="1">
      <c r="A13" s="824"/>
      <c r="B13" s="825"/>
      <c r="C13" s="825"/>
      <c r="D13" s="498">
        <v>9</v>
      </c>
      <c r="E13" s="68">
        <f t="shared" si="2"/>
        <v>0</v>
      </c>
      <c r="F13" s="577">
        <f>IFERROR(SUMIFS('Rozpočet - HW a licencie'!$I$3:$I$105,'Rozpočet - HW a licencie'!$A$3:$A$105,'TCO TO BE - HW'!F$2,'Rozpočet - HW a licencie'!$C$3:$C$105,"HW",'Rozpočet - HW a licencie'!$G$3:$G$105,'TCO TO BE - HW'!$D13,'Rozpočet - HW a licencie'!$D$3:$D$105,'TCO TO BE - HW'!$B$5)+SUMIFS('Rozpočet - HW a licencie'!$I$3:$I$105,'Rozpočet - HW a licencie'!$A$3:$A$105,'TCO TO BE - HW'!F$2,'Rozpočet - HW a licencie'!$C$3:$C$105,"SW pre HW",'Rozpočet - HW a licencie'!$G$3:$G$105,'TCO TO BE - HW'!$D13,'Rozpočet - HW a licencie'!$D$3:$D$105,'TCO TO BE - HW'!$B$5),)</f>
        <v>0</v>
      </c>
      <c r="G13" s="577">
        <f>IFERROR(SUMIFS('Rozpočet - HW a licencie'!$I$3:$I$105,'Rozpočet - HW a licencie'!$A$3:$A$105,'TCO TO BE - HW'!G$2,'Rozpočet - HW a licencie'!$C$3:$C$105,"HW",'Rozpočet - HW a licencie'!$G$3:$G$105,'TCO TO BE - HW'!$D13,'Rozpočet - HW a licencie'!$D$3:$D$105,'TCO TO BE - HW'!$B$5)+SUMIFS('Rozpočet - HW a licencie'!$I$3:$I$105,'Rozpočet - HW a licencie'!$A$3:$A$105,'TCO TO BE - HW'!G$2,'Rozpočet - HW a licencie'!$C$3:$C$105,"SW pre HW",'Rozpočet - HW a licencie'!$G$3:$G$105,'TCO TO BE - HW'!$D13,'Rozpočet - HW a licencie'!$D$3:$D$105,'TCO TO BE - HW'!$B$5),)</f>
        <v>0</v>
      </c>
      <c r="H13" s="577">
        <f>IFERROR(SUMIFS('Rozpočet - HW a licencie'!$I$3:$I$105,'Rozpočet - HW a licencie'!$A$3:$A$105,'TCO TO BE - HW'!H$2,'Rozpočet - HW a licencie'!$C$3:$C$105,"HW",'Rozpočet - HW a licencie'!$G$3:$G$105,'TCO TO BE - HW'!$D13,'Rozpočet - HW a licencie'!$D$3:$D$105,'TCO TO BE - HW'!$B$5)+SUMIFS('Rozpočet - HW a licencie'!$I$3:$I$105,'Rozpočet - HW a licencie'!$A$3:$A$105,'TCO TO BE - HW'!H$2,'Rozpočet - HW a licencie'!$C$3:$C$105,"SW pre HW",'Rozpočet - HW a licencie'!$G$3:$G$105,'TCO TO BE - HW'!$D13,'Rozpočet - HW a licencie'!$D$3:$D$105,'TCO TO BE - HW'!$B$5),)</f>
        <v>0</v>
      </c>
      <c r="I13" s="577">
        <f>IFERROR(SUMIFS('Rozpočet - HW a licencie'!$I$3:$I$105,'Rozpočet - HW a licencie'!$A$3:$A$105,'TCO TO BE - HW'!I$2,'Rozpočet - HW a licencie'!$C$3:$C$105,"HW",'Rozpočet - HW a licencie'!$G$3:$G$105,'TCO TO BE - HW'!$D13,'Rozpočet - HW a licencie'!$D$3:$D$105,'TCO TO BE - HW'!$B$5)+SUMIFS('Rozpočet - HW a licencie'!$I$3:$I$105,'Rozpočet - HW a licencie'!$A$3:$A$105,'TCO TO BE - HW'!I$2,'Rozpočet - HW a licencie'!$C$3:$C$105,"SW pre HW",'Rozpočet - HW a licencie'!$G$3:$G$105,'TCO TO BE - HW'!$D13,'Rozpočet - HW a licencie'!$D$3:$D$105,'TCO TO BE - HW'!$B$5),)</f>
        <v>0</v>
      </c>
      <c r="J13" s="577">
        <f>IFERROR(SUMIFS('Rozpočet - HW a licencie'!$I$3:$I$105,'Rozpočet - HW a licencie'!$A$3:$A$105,'TCO TO BE - HW'!J$2,'Rozpočet - HW a licencie'!$C$3:$C$105,"HW",'Rozpočet - HW a licencie'!$G$3:$G$105,'TCO TO BE - HW'!$D13,'Rozpočet - HW a licencie'!$D$3:$D$105,'TCO TO BE - HW'!$B$5)+SUMIFS('Rozpočet - HW a licencie'!$I$3:$I$105,'Rozpočet - HW a licencie'!$A$3:$A$105,'TCO TO BE - HW'!J$2,'Rozpočet - HW a licencie'!$C$3:$C$105,"SW pre HW",'Rozpočet - HW a licencie'!$G$3:$G$105,'TCO TO BE - HW'!$D13,'Rozpočet - HW a licencie'!$D$3:$D$105,'TCO TO BE - HW'!$B$5),)</f>
        <v>0</v>
      </c>
      <c r="K13" s="577">
        <f>IFERROR(SUMIFS('Rozpočet - HW a licencie'!$I$3:$I$105,'Rozpočet - HW a licencie'!$A$3:$A$105,'TCO TO BE - HW'!K$2,'Rozpočet - HW a licencie'!$C$3:$C$105,"HW",'Rozpočet - HW a licencie'!$G$3:$G$105,'TCO TO BE - HW'!$D13,'Rozpočet - HW a licencie'!$D$3:$D$105,'TCO TO BE - HW'!$B$5)+SUMIFS('Rozpočet - HW a licencie'!$I$3:$I$105,'Rozpočet - HW a licencie'!$A$3:$A$105,'TCO TO BE - HW'!K$2,'Rozpočet - HW a licencie'!$C$3:$C$105,"SW pre HW",'Rozpočet - HW a licencie'!$G$3:$G$105,'TCO TO BE - HW'!$D13,'Rozpočet - HW a licencie'!$D$3:$D$105,'TCO TO BE - HW'!$B$5),)</f>
        <v>0</v>
      </c>
      <c r="L13" s="577">
        <f>IFERROR(SUMIFS('Rozpočet - HW a licencie'!$I$3:$I$105,'Rozpočet - HW a licencie'!$A$3:$A$105,'TCO TO BE - HW'!L$2,'Rozpočet - HW a licencie'!$C$3:$C$105,"HW",'Rozpočet - HW a licencie'!$G$3:$G$105,'TCO TO BE - HW'!$D13,'Rozpočet - HW a licencie'!$D$3:$D$105,'TCO TO BE - HW'!$B$5)+SUMIFS('Rozpočet - HW a licencie'!$I$3:$I$105,'Rozpočet - HW a licencie'!$A$3:$A$105,'TCO TO BE - HW'!L$2,'Rozpočet - HW a licencie'!$C$3:$C$105,"SW pre HW",'Rozpočet - HW a licencie'!$G$3:$G$105,'TCO TO BE - HW'!$D13,'Rozpočet - HW a licencie'!$D$3:$D$105,'TCO TO BE - HW'!$B$5),)</f>
        <v>0</v>
      </c>
      <c r="M13" s="577">
        <f>IFERROR(SUMIFS('Rozpočet - HW a licencie'!$I$3:$I$105,'Rozpočet - HW a licencie'!$A$3:$A$105,'TCO TO BE - HW'!M$2,'Rozpočet - HW a licencie'!$C$3:$C$105,"HW",'Rozpočet - HW a licencie'!$G$3:$G$105,'TCO TO BE - HW'!$D13,'Rozpočet - HW a licencie'!$D$3:$D$105,'TCO TO BE - HW'!$B$5)+SUMIFS('Rozpočet - HW a licencie'!$I$3:$I$105,'Rozpočet - HW a licencie'!$A$3:$A$105,'TCO TO BE - HW'!M$2,'Rozpočet - HW a licencie'!$C$3:$C$105,"SW pre HW",'Rozpočet - HW a licencie'!$G$3:$G$105,'TCO TO BE - HW'!$D13,'Rozpočet - HW a licencie'!$D$3:$D$105,'TCO TO BE - HW'!$B$5),)</f>
        <v>0</v>
      </c>
      <c r="N13" s="577">
        <f>IFERROR(SUMIFS('Rozpočet - HW a licencie'!$I$3:$I$105,'Rozpočet - HW a licencie'!$A$3:$A$105,'TCO TO BE - HW'!N$2,'Rozpočet - HW a licencie'!$C$3:$C$105,"HW",'Rozpočet - HW a licencie'!$G$3:$G$105,'TCO TO BE - HW'!$D13,'Rozpočet - HW a licencie'!$D$3:$D$105,'TCO TO BE - HW'!$B$5)+SUMIFS('Rozpočet - HW a licencie'!$I$3:$I$105,'Rozpočet - HW a licencie'!$A$3:$A$105,'TCO TO BE - HW'!N$2,'Rozpočet - HW a licencie'!$C$3:$C$105,"SW pre HW",'Rozpočet - HW a licencie'!$G$3:$G$105,'TCO TO BE - HW'!$D13,'Rozpočet - HW a licencie'!$D$3:$D$105,'TCO TO BE - HW'!$B$5),)</f>
        <v>0</v>
      </c>
      <c r="O13" s="577">
        <f>IFERROR(SUMIFS('Rozpočet - HW a licencie'!$I$3:$I$105,'Rozpočet - HW a licencie'!$A$3:$A$105,'TCO TO BE - HW'!O$2,'Rozpočet - HW a licencie'!$C$3:$C$105,"HW",'Rozpočet - HW a licencie'!$G$3:$G$105,'TCO TO BE - HW'!$D13,'Rozpočet - HW a licencie'!$D$3:$D$105,'TCO TO BE - HW'!$B$5)+SUMIFS('Rozpočet - HW a licencie'!$I$3:$I$105,'Rozpočet - HW a licencie'!$A$3:$A$105,'TCO TO BE - HW'!O$2,'Rozpočet - HW a licencie'!$C$3:$C$105,"SW pre HW",'Rozpočet - HW a licencie'!$G$3:$G$105,'TCO TO BE - HW'!$D13,'Rozpočet - HW a licencie'!$D$3:$D$105,'TCO TO BE - HW'!$B$5),)</f>
        <v>0</v>
      </c>
      <c r="P13" s="577">
        <f>IFERROR(SUMIFS('Rozpočet - HW a licencie'!$I$3:$I$105,'Rozpočet - HW a licencie'!$A$3:$A$105,'TCO TO BE - HW'!P$2,'Rozpočet - HW a licencie'!$C$3:$C$105,"HW",'Rozpočet - HW a licencie'!$G$3:$G$105,'TCO TO BE - HW'!$D13,'Rozpočet - HW a licencie'!$D$3:$D$105,'TCO TO BE - HW'!$B$5)+SUMIFS('Rozpočet - HW a licencie'!$I$3:$I$105,'Rozpočet - HW a licencie'!$A$3:$A$105,'TCO TO BE - HW'!P$2,'Rozpočet - HW a licencie'!$C$3:$C$105,"SW pre HW",'Rozpočet - HW a licencie'!$G$3:$G$105,'TCO TO BE - HW'!$D13,'Rozpočet - HW a licencie'!$D$3:$D$105,'TCO TO BE - HW'!$B$5),)</f>
        <v>0</v>
      </c>
      <c r="Q13" s="577">
        <f>IFERROR(SUMIFS('Rozpočet - HW a licencie'!$I$3:$I$105,'Rozpočet - HW a licencie'!$A$3:$A$105,'TCO TO BE - HW'!Q$2,'Rozpočet - HW a licencie'!$C$3:$C$105,"HW",'Rozpočet - HW a licencie'!$G$3:$G$105,'TCO TO BE - HW'!$D13,'Rozpočet - HW a licencie'!$D$3:$D$105,'TCO TO BE - HW'!$B$5)+SUMIFS('Rozpočet - HW a licencie'!$I$3:$I$105,'Rozpočet - HW a licencie'!$A$3:$A$105,'TCO TO BE - HW'!Q$2,'Rozpočet - HW a licencie'!$C$3:$C$105,"SW pre HW",'Rozpočet - HW a licencie'!$G$3:$G$105,'TCO TO BE - HW'!$D13,'Rozpočet - HW a licencie'!$D$3:$D$105,'TCO TO BE - HW'!$B$5),)</f>
        <v>0</v>
      </c>
      <c r="R13" s="577">
        <f>IFERROR(SUMIFS('Rozpočet - HW a licencie'!$I$3:$I$105,'Rozpočet - HW a licencie'!$A$3:$A$105,'TCO TO BE - HW'!R$2,'Rozpočet - HW a licencie'!$C$3:$C$105,"HW",'Rozpočet - HW a licencie'!$G$3:$G$105,'TCO TO BE - HW'!$D13,'Rozpočet - HW a licencie'!$D$3:$D$105,'TCO TO BE - HW'!$B$5)+SUMIFS('Rozpočet - HW a licencie'!$I$3:$I$105,'Rozpočet - HW a licencie'!$A$3:$A$105,'TCO TO BE - HW'!R$2,'Rozpočet - HW a licencie'!$C$3:$C$105,"SW pre HW",'Rozpočet - HW a licencie'!$G$3:$G$105,'TCO TO BE - HW'!$D13,'Rozpočet - HW a licencie'!$D$3:$D$105,'TCO TO BE - HW'!$B$5),)</f>
        <v>0</v>
      </c>
      <c r="S13" s="577">
        <f>IFERROR(SUMIFS('Rozpočet - HW a licencie'!$I$3:$I$105,'Rozpočet - HW a licencie'!$A$3:$A$105,'TCO TO BE - HW'!S$2,'Rozpočet - HW a licencie'!$C$3:$C$105,"HW",'Rozpočet - HW a licencie'!$G$3:$G$105,'TCO TO BE - HW'!$D13,'Rozpočet - HW a licencie'!$D$3:$D$105,'TCO TO BE - HW'!$B$5)+SUMIFS('Rozpočet - HW a licencie'!$I$3:$I$105,'Rozpočet - HW a licencie'!$A$3:$A$105,'TCO TO BE - HW'!S$2,'Rozpočet - HW a licencie'!$C$3:$C$105,"SW pre HW",'Rozpočet - HW a licencie'!$G$3:$G$105,'TCO TO BE - HW'!$D13,'Rozpočet - HW a licencie'!$D$3:$D$105,'TCO TO BE - HW'!$B$5),)</f>
        <v>0</v>
      </c>
      <c r="T13" s="577">
        <f>IFERROR(SUMIFS('Rozpočet - HW a licencie'!$I$3:$I$105,'Rozpočet - HW a licencie'!$A$3:$A$105,'TCO TO BE - HW'!T$2,'Rozpočet - HW a licencie'!$C$3:$C$105,"HW",'Rozpočet - HW a licencie'!$G$3:$G$105,'TCO TO BE - HW'!$D13,'Rozpočet - HW a licencie'!$D$3:$D$105,'TCO TO BE - HW'!$B$5)+SUMIFS('Rozpočet - HW a licencie'!$I$3:$I$105,'Rozpočet - HW a licencie'!$A$3:$A$105,'TCO TO BE - HW'!T$2,'Rozpočet - HW a licencie'!$C$3:$C$105,"SW pre HW",'Rozpočet - HW a licencie'!$G$3:$G$105,'TCO TO BE - HW'!$D13,'Rozpočet - HW a licencie'!$D$3:$D$105,'TCO TO BE - HW'!$B$5),)</f>
        <v>0</v>
      </c>
      <c r="U13" s="577">
        <f>IFERROR(SUMIFS('Rozpočet - HW a licencie'!$I$3:$I$105,'Rozpočet - HW a licencie'!$A$3:$A$105,'TCO TO BE - HW'!U$2,'Rozpočet - HW a licencie'!$C$3:$C$105,"HW",'Rozpočet - HW a licencie'!$G$3:$G$105,'TCO TO BE - HW'!$D13,'Rozpočet - HW a licencie'!$D$3:$D$105,'TCO TO BE - HW'!$B$5)+SUMIFS('Rozpočet - HW a licencie'!$I$3:$I$105,'Rozpočet - HW a licencie'!$A$3:$A$105,'TCO TO BE - HW'!U$2,'Rozpočet - HW a licencie'!$C$3:$C$105,"SW pre HW",'Rozpočet - HW a licencie'!$G$3:$G$105,'TCO TO BE - HW'!$D13,'Rozpočet - HW a licencie'!$D$3:$D$105,'TCO TO BE - HW'!$B$5),)</f>
        <v>0</v>
      </c>
      <c r="V13" s="577">
        <f>IFERROR(SUMIFS('Rozpočet - HW a licencie'!$I$3:$I$105,'Rozpočet - HW a licencie'!$A$3:$A$105,'TCO TO BE - HW'!V$2,'Rozpočet - HW a licencie'!$C$3:$C$105,"HW",'Rozpočet - HW a licencie'!$G$3:$G$105,'TCO TO BE - HW'!$D13,'Rozpočet - HW a licencie'!$D$3:$D$105,'TCO TO BE - HW'!$B$5)+SUMIFS('Rozpočet - HW a licencie'!$I$3:$I$105,'Rozpočet - HW a licencie'!$A$3:$A$105,'TCO TO BE - HW'!V$2,'Rozpočet - HW a licencie'!$C$3:$C$105,"SW pre HW",'Rozpočet - HW a licencie'!$G$3:$G$105,'TCO TO BE - HW'!$D13,'Rozpočet - HW a licencie'!$D$3:$D$105,'TCO TO BE - HW'!$B$5),)</f>
        <v>0</v>
      </c>
      <c r="W13" s="577">
        <f>IFERROR(SUMIFS('Rozpočet - HW a licencie'!$I$3:$I$105,'Rozpočet - HW a licencie'!$A$3:$A$105,'TCO TO BE - HW'!W$2,'Rozpočet - HW a licencie'!$C$3:$C$105,"HW",'Rozpočet - HW a licencie'!$G$3:$G$105,'TCO TO BE - HW'!$D13,'Rozpočet - HW a licencie'!$D$3:$D$105,'TCO TO BE - HW'!$B$5)+SUMIFS('Rozpočet - HW a licencie'!$I$3:$I$105,'Rozpočet - HW a licencie'!$A$3:$A$105,'TCO TO BE - HW'!W$2,'Rozpočet - HW a licencie'!$C$3:$C$105,"SW pre HW",'Rozpočet - HW a licencie'!$G$3:$G$105,'TCO TO BE - HW'!$D13,'Rozpočet - HW a licencie'!$D$3:$D$105,'TCO TO BE - HW'!$B$5),)</f>
        <v>0</v>
      </c>
      <c r="X13" s="577">
        <f>IFERROR(SUMIFS('Rozpočet - HW a licencie'!$I$3:$I$105,'Rozpočet - HW a licencie'!$A$3:$A$105,'TCO TO BE - HW'!X$2,'Rozpočet - HW a licencie'!$C$3:$C$105,"HW",'Rozpočet - HW a licencie'!$G$3:$G$105,'TCO TO BE - HW'!$D13,'Rozpočet - HW a licencie'!$D$3:$D$105,'TCO TO BE - HW'!$B$5)+SUMIFS('Rozpočet - HW a licencie'!$I$3:$I$105,'Rozpočet - HW a licencie'!$A$3:$A$105,'TCO TO BE - HW'!X$2,'Rozpočet - HW a licencie'!$C$3:$C$105,"SW pre HW",'Rozpočet - HW a licencie'!$G$3:$G$105,'TCO TO BE - HW'!$D13,'Rozpočet - HW a licencie'!$D$3:$D$105,'TCO TO BE - HW'!$B$5),)</f>
        <v>0</v>
      </c>
      <c r="Y13" s="577">
        <f>IFERROR(SUMIFS('Rozpočet - HW a licencie'!$I$3:$I$105,'Rozpočet - HW a licencie'!$A$3:$A$105,'TCO TO BE - HW'!Y$2,'Rozpočet - HW a licencie'!$C$3:$C$105,"HW",'Rozpočet - HW a licencie'!$G$3:$G$105,'TCO TO BE - HW'!$D13,'Rozpočet - HW a licencie'!$D$3:$D$105,'TCO TO BE - HW'!$B$5)+SUMIFS('Rozpočet - HW a licencie'!$I$3:$I$105,'Rozpočet - HW a licencie'!$A$3:$A$105,'TCO TO BE - HW'!Y$2,'Rozpočet - HW a licencie'!$C$3:$C$105,"SW pre HW",'Rozpočet - HW a licencie'!$G$3:$G$105,'TCO TO BE - HW'!$D13,'Rozpočet - HW a licencie'!$D$3:$D$105,'TCO TO BE - HW'!$B$5),)</f>
        <v>0</v>
      </c>
      <c r="Z13" s="577">
        <f>IFERROR(SUMIFS('Rozpočet - HW a licencie'!$I$3:$I$105,'Rozpočet - HW a licencie'!$A$3:$A$105,'TCO TO BE - HW'!Z$2,'Rozpočet - HW a licencie'!$C$3:$C$105,"HW",'Rozpočet - HW a licencie'!$G$3:$G$105,'TCO TO BE - HW'!$D13,'Rozpočet - HW a licencie'!$D$3:$D$105,'TCO TO BE - HW'!$B$5)+SUMIFS('Rozpočet - HW a licencie'!$I$3:$I$105,'Rozpočet - HW a licencie'!$A$3:$A$105,'TCO TO BE - HW'!Z$2,'Rozpočet - HW a licencie'!$C$3:$C$105,"SW pre HW",'Rozpočet - HW a licencie'!$G$3:$G$105,'TCO TO BE - HW'!$D13,'Rozpočet - HW a licencie'!$D$3:$D$105,'TCO TO BE - HW'!$B$5),)</f>
        <v>0</v>
      </c>
    </row>
    <row r="14" spans="1:26" ht="15.75" outlineLevel="1" thickBot="1">
      <c r="A14" s="824"/>
      <c r="B14" s="825"/>
      <c r="C14" s="825"/>
      <c r="D14" s="499">
        <v>10</v>
      </c>
      <c r="E14" s="69">
        <f t="shared" si="2"/>
        <v>0</v>
      </c>
      <c r="F14" s="577">
        <f>IFERROR(SUMIFS('Rozpočet - HW a licencie'!$I$3:$I$105,'Rozpočet - HW a licencie'!$A$3:$A$105,'TCO TO BE - HW'!F$2,'Rozpočet - HW a licencie'!$C$3:$C$105,"HW",'Rozpočet - HW a licencie'!$G$3:$G$105,'TCO TO BE - HW'!$D14,'Rozpočet - HW a licencie'!$D$3:$D$105,'TCO TO BE - HW'!$B$5)+SUMIFS('Rozpočet - HW a licencie'!$I$3:$I$105,'Rozpočet - HW a licencie'!$A$3:$A$105,'TCO TO BE - HW'!F$2,'Rozpočet - HW a licencie'!$C$3:$C$105,"SW pre HW",'Rozpočet - HW a licencie'!$G$3:$G$105,'TCO TO BE - HW'!$D14,'Rozpočet - HW a licencie'!$D$3:$D$105,'TCO TO BE - HW'!$B$5),)</f>
        <v>0</v>
      </c>
      <c r="G14" s="577">
        <f>IFERROR(SUMIFS('Rozpočet - HW a licencie'!$I$3:$I$105,'Rozpočet - HW a licencie'!$A$3:$A$105,'TCO TO BE - HW'!G$2,'Rozpočet - HW a licencie'!$C$3:$C$105,"HW",'Rozpočet - HW a licencie'!$G$3:$G$105,'TCO TO BE - HW'!$D14,'Rozpočet - HW a licencie'!$D$3:$D$105,'TCO TO BE - HW'!$B$5)+SUMIFS('Rozpočet - HW a licencie'!$I$3:$I$105,'Rozpočet - HW a licencie'!$A$3:$A$105,'TCO TO BE - HW'!G$2,'Rozpočet - HW a licencie'!$C$3:$C$105,"SW pre HW",'Rozpočet - HW a licencie'!$G$3:$G$105,'TCO TO BE - HW'!$D14,'Rozpočet - HW a licencie'!$D$3:$D$105,'TCO TO BE - HW'!$B$5),)</f>
        <v>0</v>
      </c>
      <c r="H14" s="577">
        <f>IFERROR(SUMIFS('Rozpočet - HW a licencie'!$I$3:$I$105,'Rozpočet - HW a licencie'!$A$3:$A$105,'TCO TO BE - HW'!H$2,'Rozpočet - HW a licencie'!$C$3:$C$105,"HW",'Rozpočet - HW a licencie'!$G$3:$G$105,'TCO TO BE - HW'!$D14,'Rozpočet - HW a licencie'!$D$3:$D$105,'TCO TO BE - HW'!$B$5)+SUMIFS('Rozpočet - HW a licencie'!$I$3:$I$105,'Rozpočet - HW a licencie'!$A$3:$A$105,'TCO TO BE - HW'!H$2,'Rozpočet - HW a licencie'!$C$3:$C$105,"SW pre HW",'Rozpočet - HW a licencie'!$G$3:$G$105,'TCO TO BE - HW'!$D14,'Rozpočet - HW a licencie'!$D$3:$D$105,'TCO TO BE - HW'!$B$5),)</f>
        <v>0</v>
      </c>
      <c r="I14" s="577">
        <f>IFERROR(SUMIFS('Rozpočet - HW a licencie'!$I$3:$I$105,'Rozpočet - HW a licencie'!$A$3:$A$105,'TCO TO BE - HW'!I$2,'Rozpočet - HW a licencie'!$C$3:$C$105,"HW",'Rozpočet - HW a licencie'!$G$3:$G$105,'TCO TO BE - HW'!$D14,'Rozpočet - HW a licencie'!$D$3:$D$105,'TCO TO BE - HW'!$B$5)+SUMIFS('Rozpočet - HW a licencie'!$I$3:$I$105,'Rozpočet - HW a licencie'!$A$3:$A$105,'TCO TO BE - HW'!I$2,'Rozpočet - HW a licencie'!$C$3:$C$105,"SW pre HW",'Rozpočet - HW a licencie'!$G$3:$G$105,'TCO TO BE - HW'!$D14,'Rozpočet - HW a licencie'!$D$3:$D$105,'TCO TO BE - HW'!$B$5),)</f>
        <v>0</v>
      </c>
      <c r="J14" s="577">
        <f>IFERROR(SUMIFS('Rozpočet - HW a licencie'!$I$3:$I$105,'Rozpočet - HW a licencie'!$A$3:$A$105,'TCO TO BE - HW'!J$2,'Rozpočet - HW a licencie'!$C$3:$C$105,"HW",'Rozpočet - HW a licencie'!$G$3:$G$105,'TCO TO BE - HW'!$D14,'Rozpočet - HW a licencie'!$D$3:$D$105,'TCO TO BE - HW'!$B$5)+SUMIFS('Rozpočet - HW a licencie'!$I$3:$I$105,'Rozpočet - HW a licencie'!$A$3:$A$105,'TCO TO BE - HW'!J$2,'Rozpočet - HW a licencie'!$C$3:$C$105,"SW pre HW",'Rozpočet - HW a licencie'!$G$3:$G$105,'TCO TO BE - HW'!$D14,'Rozpočet - HW a licencie'!$D$3:$D$105,'TCO TO BE - HW'!$B$5),)</f>
        <v>0</v>
      </c>
      <c r="K14" s="577">
        <f>IFERROR(SUMIFS('Rozpočet - HW a licencie'!$I$3:$I$105,'Rozpočet - HW a licencie'!$A$3:$A$105,'TCO TO BE - HW'!K$2,'Rozpočet - HW a licencie'!$C$3:$C$105,"HW",'Rozpočet - HW a licencie'!$G$3:$G$105,'TCO TO BE - HW'!$D14,'Rozpočet - HW a licencie'!$D$3:$D$105,'TCO TO BE - HW'!$B$5)+SUMIFS('Rozpočet - HW a licencie'!$I$3:$I$105,'Rozpočet - HW a licencie'!$A$3:$A$105,'TCO TO BE - HW'!K$2,'Rozpočet - HW a licencie'!$C$3:$C$105,"SW pre HW",'Rozpočet - HW a licencie'!$G$3:$G$105,'TCO TO BE - HW'!$D14,'Rozpočet - HW a licencie'!$D$3:$D$105,'TCO TO BE - HW'!$B$5),)</f>
        <v>0</v>
      </c>
      <c r="L14" s="577">
        <f>IFERROR(SUMIFS('Rozpočet - HW a licencie'!$I$3:$I$105,'Rozpočet - HW a licencie'!$A$3:$A$105,'TCO TO BE - HW'!L$2,'Rozpočet - HW a licencie'!$C$3:$C$105,"HW",'Rozpočet - HW a licencie'!$G$3:$G$105,'TCO TO BE - HW'!$D14,'Rozpočet - HW a licencie'!$D$3:$D$105,'TCO TO BE - HW'!$B$5)+SUMIFS('Rozpočet - HW a licencie'!$I$3:$I$105,'Rozpočet - HW a licencie'!$A$3:$A$105,'TCO TO BE - HW'!L$2,'Rozpočet - HW a licencie'!$C$3:$C$105,"SW pre HW",'Rozpočet - HW a licencie'!$G$3:$G$105,'TCO TO BE - HW'!$D14,'Rozpočet - HW a licencie'!$D$3:$D$105,'TCO TO BE - HW'!$B$5),)</f>
        <v>0</v>
      </c>
      <c r="M14" s="577">
        <f>IFERROR(SUMIFS('Rozpočet - HW a licencie'!$I$3:$I$105,'Rozpočet - HW a licencie'!$A$3:$A$105,'TCO TO BE - HW'!M$2,'Rozpočet - HW a licencie'!$C$3:$C$105,"HW",'Rozpočet - HW a licencie'!$G$3:$G$105,'TCO TO BE - HW'!$D14,'Rozpočet - HW a licencie'!$D$3:$D$105,'TCO TO BE - HW'!$B$5)+SUMIFS('Rozpočet - HW a licencie'!$I$3:$I$105,'Rozpočet - HW a licencie'!$A$3:$A$105,'TCO TO BE - HW'!M$2,'Rozpočet - HW a licencie'!$C$3:$C$105,"SW pre HW",'Rozpočet - HW a licencie'!$G$3:$G$105,'TCO TO BE - HW'!$D14,'Rozpočet - HW a licencie'!$D$3:$D$105,'TCO TO BE - HW'!$B$5),)</f>
        <v>0</v>
      </c>
      <c r="N14" s="577">
        <f>IFERROR(SUMIFS('Rozpočet - HW a licencie'!$I$3:$I$105,'Rozpočet - HW a licencie'!$A$3:$A$105,'TCO TO BE - HW'!N$2,'Rozpočet - HW a licencie'!$C$3:$C$105,"HW",'Rozpočet - HW a licencie'!$G$3:$G$105,'TCO TO BE - HW'!$D14,'Rozpočet - HW a licencie'!$D$3:$D$105,'TCO TO BE - HW'!$B$5)+SUMIFS('Rozpočet - HW a licencie'!$I$3:$I$105,'Rozpočet - HW a licencie'!$A$3:$A$105,'TCO TO BE - HW'!N$2,'Rozpočet - HW a licencie'!$C$3:$C$105,"SW pre HW",'Rozpočet - HW a licencie'!$G$3:$G$105,'TCO TO BE - HW'!$D14,'Rozpočet - HW a licencie'!$D$3:$D$105,'TCO TO BE - HW'!$B$5),)</f>
        <v>0</v>
      </c>
      <c r="O14" s="577">
        <f>IFERROR(SUMIFS('Rozpočet - HW a licencie'!$I$3:$I$105,'Rozpočet - HW a licencie'!$A$3:$A$105,'TCO TO BE - HW'!O$2,'Rozpočet - HW a licencie'!$C$3:$C$105,"HW",'Rozpočet - HW a licencie'!$G$3:$G$105,'TCO TO BE - HW'!$D14,'Rozpočet - HW a licencie'!$D$3:$D$105,'TCO TO BE - HW'!$B$5)+SUMIFS('Rozpočet - HW a licencie'!$I$3:$I$105,'Rozpočet - HW a licencie'!$A$3:$A$105,'TCO TO BE - HW'!O$2,'Rozpočet - HW a licencie'!$C$3:$C$105,"SW pre HW",'Rozpočet - HW a licencie'!$G$3:$G$105,'TCO TO BE - HW'!$D14,'Rozpočet - HW a licencie'!$D$3:$D$105,'TCO TO BE - HW'!$B$5),)</f>
        <v>0</v>
      </c>
      <c r="P14" s="577">
        <f>IFERROR(SUMIFS('Rozpočet - HW a licencie'!$I$3:$I$105,'Rozpočet - HW a licencie'!$A$3:$A$105,'TCO TO BE - HW'!P$2,'Rozpočet - HW a licencie'!$C$3:$C$105,"HW",'Rozpočet - HW a licencie'!$G$3:$G$105,'TCO TO BE - HW'!$D14,'Rozpočet - HW a licencie'!$D$3:$D$105,'TCO TO BE - HW'!$B$5)+SUMIFS('Rozpočet - HW a licencie'!$I$3:$I$105,'Rozpočet - HW a licencie'!$A$3:$A$105,'TCO TO BE - HW'!P$2,'Rozpočet - HW a licencie'!$C$3:$C$105,"SW pre HW",'Rozpočet - HW a licencie'!$G$3:$G$105,'TCO TO BE - HW'!$D14,'Rozpočet - HW a licencie'!$D$3:$D$105,'TCO TO BE - HW'!$B$5),)</f>
        <v>0</v>
      </c>
      <c r="Q14" s="577">
        <f>IFERROR(SUMIFS('Rozpočet - HW a licencie'!$I$3:$I$105,'Rozpočet - HW a licencie'!$A$3:$A$105,'TCO TO BE - HW'!Q$2,'Rozpočet - HW a licencie'!$C$3:$C$105,"HW",'Rozpočet - HW a licencie'!$G$3:$G$105,'TCO TO BE - HW'!$D14,'Rozpočet - HW a licencie'!$D$3:$D$105,'TCO TO BE - HW'!$B$5)+SUMIFS('Rozpočet - HW a licencie'!$I$3:$I$105,'Rozpočet - HW a licencie'!$A$3:$A$105,'TCO TO BE - HW'!Q$2,'Rozpočet - HW a licencie'!$C$3:$C$105,"SW pre HW",'Rozpočet - HW a licencie'!$G$3:$G$105,'TCO TO BE - HW'!$D14,'Rozpočet - HW a licencie'!$D$3:$D$105,'TCO TO BE - HW'!$B$5),)</f>
        <v>0</v>
      </c>
      <c r="R14" s="577">
        <f>IFERROR(SUMIFS('Rozpočet - HW a licencie'!$I$3:$I$105,'Rozpočet - HW a licencie'!$A$3:$A$105,'TCO TO BE - HW'!R$2,'Rozpočet - HW a licencie'!$C$3:$C$105,"HW",'Rozpočet - HW a licencie'!$G$3:$G$105,'TCO TO BE - HW'!$D14,'Rozpočet - HW a licencie'!$D$3:$D$105,'TCO TO BE - HW'!$B$5)+SUMIFS('Rozpočet - HW a licencie'!$I$3:$I$105,'Rozpočet - HW a licencie'!$A$3:$A$105,'TCO TO BE - HW'!R$2,'Rozpočet - HW a licencie'!$C$3:$C$105,"SW pre HW",'Rozpočet - HW a licencie'!$G$3:$G$105,'TCO TO BE - HW'!$D14,'Rozpočet - HW a licencie'!$D$3:$D$105,'TCO TO BE - HW'!$B$5),)</f>
        <v>0</v>
      </c>
      <c r="S14" s="577">
        <f>IFERROR(SUMIFS('Rozpočet - HW a licencie'!$I$3:$I$105,'Rozpočet - HW a licencie'!$A$3:$A$105,'TCO TO BE - HW'!S$2,'Rozpočet - HW a licencie'!$C$3:$C$105,"HW",'Rozpočet - HW a licencie'!$G$3:$G$105,'TCO TO BE - HW'!$D14,'Rozpočet - HW a licencie'!$D$3:$D$105,'TCO TO BE - HW'!$B$5)+SUMIFS('Rozpočet - HW a licencie'!$I$3:$I$105,'Rozpočet - HW a licencie'!$A$3:$A$105,'TCO TO BE - HW'!S$2,'Rozpočet - HW a licencie'!$C$3:$C$105,"SW pre HW",'Rozpočet - HW a licencie'!$G$3:$G$105,'TCO TO BE - HW'!$D14,'Rozpočet - HW a licencie'!$D$3:$D$105,'TCO TO BE - HW'!$B$5),)</f>
        <v>0</v>
      </c>
      <c r="T14" s="577">
        <f>IFERROR(SUMIFS('Rozpočet - HW a licencie'!$I$3:$I$105,'Rozpočet - HW a licencie'!$A$3:$A$105,'TCO TO BE - HW'!T$2,'Rozpočet - HW a licencie'!$C$3:$C$105,"HW",'Rozpočet - HW a licencie'!$G$3:$G$105,'TCO TO BE - HW'!$D14,'Rozpočet - HW a licencie'!$D$3:$D$105,'TCO TO BE - HW'!$B$5)+SUMIFS('Rozpočet - HW a licencie'!$I$3:$I$105,'Rozpočet - HW a licencie'!$A$3:$A$105,'TCO TO BE - HW'!T$2,'Rozpočet - HW a licencie'!$C$3:$C$105,"SW pre HW",'Rozpočet - HW a licencie'!$G$3:$G$105,'TCO TO BE - HW'!$D14,'Rozpočet - HW a licencie'!$D$3:$D$105,'TCO TO BE - HW'!$B$5),)</f>
        <v>0</v>
      </c>
      <c r="U14" s="577">
        <f>IFERROR(SUMIFS('Rozpočet - HW a licencie'!$I$3:$I$105,'Rozpočet - HW a licencie'!$A$3:$A$105,'TCO TO BE - HW'!U$2,'Rozpočet - HW a licencie'!$C$3:$C$105,"HW",'Rozpočet - HW a licencie'!$G$3:$G$105,'TCO TO BE - HW'!$D14,'Rozpočet - HW a licencie'!$D$3:$D$105,'TCO TO BE - HW'!$B$5)+SUMIFS('Rozpočet - HW a licencie'!$I$3:$I$105,'Rozpočet - HW a licencie'!$A$3:$A$105,'TCO TO BE - HW'!U$2,'Rozpočet - HW a licencie'!$C$3:$C$105,"SW pre HW",'Rozpočet - HW a licencie'!$G$3:$G$105,'TCO TO BE - HW'!$D14,'Rozpočet - HW a licencie'!$D$3:$D$105,'TCO TO BE - HW'!$B$5),)</f>
        <v>0</v>
      </c>
      <c r="V14" s="577">
        <f>IFERROR(SUMIFS('Rozpočet - HW a licencie'!$I$3:$I$105,'Rozpočet - HW a licencie'!$A$3:$A$105,'TCO TO BE - HW'!V$2,'Rozpočet - HW a licencie'!$C$3:$C$105,"HW",'Rozpočet - HW a licencie'!$G$3:$G$105,'TCO TO BE - HW'!$D14,'Rozpočet - HW a licencie'!$D$3:$D$105,'TCO TO BE - HW'!$B$5)+SUMIFS('Rozpočet - HW a licencie'!$I$3:$I$105,'Rozpočet - HW a licencie'!$A$3:$A$105,'TCO TO BE - HW'!V$2,'Rozpočet - HW a licencie'!$C$3:$C$105,"SW pre HW",'Rozpočet - HW a licencie'!$G$3:$G$105,'TCO TO BE - HW'!$D14,'Rozpočet - HW a licencie'!$D$3:$D$105,'TCO TO BE - HW'!$B$5),)</f>
        <v>0</v>
      </c>
      <c r="W14" s="577">
        <f>IFERROR(SUMIFS('Rozpočet - HW a licencie'!$I$3:$I$105,'Rozpočet - HW a licencie'!$A$3:$A$105,'TCO TO BE - HW'!W$2,'Rozpočet - HW a licencie'!$C$3:$C$105,"HW",'Rozpočet - HW a licencie'!$G$3:$G$105,'TCO TO BE - HW'!$D14,'Rozpočet - HW a licencie'!$D$3:$D$105,'TCO TO BE - HW'!$B$5)+SUMIFS('Rozpočet - HW a licencie'!$I$3:$I$105,'Rozpočet - HW a licencie'!$A$3:$A$105,'TCO TO BE - HW'!W$2,'Rozpočet - HW a licencie'!$C$3:$C$105,"SW pre HW",'Rozpočet - HW a licencie'!$G$3:$G$105,'TCO TO BE - HW'!$D14,'Rozpočet - HW a licencie'!$D$3:$D$105,'TCO TO BE - HW'!$B$5),)</f>
        <v>0</v>
      </c>
      <c r="X14" s="577">
        <f>IFERROR(SUMIFS('Rozpočet - HW a licencie'!$I$3:$I$105,'Rozpočet - HW a licencie'!$A$3:$A$105,'TCO TO BE - HW'!X$2,'Rozpočet - HW a licencie'!$C$3:$C$105,"HW",'Rozpočet - HW a licencie'!$G$3:$G$105,'TCO TO BE - HW'!$D14,'Rozpočet - HW a licencie'!$D$3:$D$105,'TCO TO BE - HW'!$B$5)+SUMIFS('Rozpočet - HW a licencie'!$I$3:$I$105,'Rozpočet - HW a licencie'!$A$3:$A$105,'TCO TO BE - HW'!X$2,'Rozpočet - HW a licencie'!$C$3:$C$105,"SW pre HW",'Rozpočet - HW a licencie'!$G$3:$G$105,'TCO TO BE - HW'!$D14,'Rozpočet - HW a licencie'!$D$3:$D$105,'TCO TO BE - HW'!$B$5),)</f>
        <v>0</v>
      </c>
      <c r="Y14" s="577">
        <f>IFERROR(SUMIFS('Rozpočet - HW a licencie'!$I$3:$I$105,'Rozpočet - HW a licencie'!$A$3:$A$105,'TCO TO BE - HW'!Y$2,'Rozpočet - HW a licencie'!$C$3:$C$105,"HW",'Rozpočet - HW a licencie'!$G$3:$G$105,'TCO TO BE - HW'!$D14,'Rozpočet - HW a licencie'!$D$3:$D$105,'TCO TO BE - HW'!$B$5)+SUMIFS('Rozpočet - HW a licencie'!$I$3:$I$105,'Rozpočet - HW a licencie'!$A$3:$A$105,'TCO TO BE - HW'!Y$2,'Rozpočet - HW a licencie'!$C$3:$C$105,"SW pre HW",'Rozpočet - HW a licencie'!$G$3:$G$105,'TCO TO BE - HW'!$D14,'Rozpočet - HW a licencie'!$D$3:$D$105,'TCO TO BE - HW'!$B$5),)</f>
        <v>0</v>
      </c>
      <c r="Z14" s="577">
        <f>IFERROR(SUMIFS('Rozpočet - HW a licencie'!$I$3:$I$105,'Rozpočet - HW a licencie'!$A$3:$A$105,'TCO TO BE - HW'!Z$2,'Rozpočet - HW a licencie'!$C$3:$C$105,"HW",'Rozpočet - HW a licencie'!$G$3:$G$105,'TCO TO BE - HW'!$D14,'Rozpočet - HW a licencie'!$D$3:$D$105,'TCO TO BE - HW'!$B$5)+SUMIFS('Rozpočet - HW a licencie'!$I$3:$I$105,'Rozpočet - HW a licencie'!$A$3:$A$105,'TCO TO BE - HW'!Z$2,'Rozpočet - HW a licencie'!$C$3:$C$105,"SW pre HW",'Rozpočet - HW a licencie'!$G$3:$G$105,'TCO TO BE - HW'!$D14,'Rozpočet - HW a licencie'!$D$3:$D$105,'TCO TO BE - HW'!$B$5),)</f>
        <v>0</v>
      </c>
    </row>
    <row r="15" spans="1:26" ht="15" customHeight="1" outlineLevel="1">
      <c r="A15" s="824" t="s">
        <v>88</v>
      </c>
      <c r="B15" s="824" t="s">
        <v>111</v>
      </c>
      <c r="C15" s="825">
        <v>633002</v>
      </c>
      <c r="D15" s="497">
        <v>1</v>
      </c>
      <c r="E15" s="68">
        <f t="shared" si="2"/>
        <v>0</v>
      </c>
      <c r="F15" s="576">
        <f>IFERROR(SUMIFS('Rozpočet - HW a licencie'!$I$3:$I$105,'Rozpočet - HW a licencie'!$A$3:$A$105,'TCO TO BE - HW'!F$2,'Rozpočet - HW a licencie'!$C$3:$C$105,"HW",'Rozpočet - HW a licencie'!$G$3:$G$105,'TCO TO BE - HW'!$D5,'Rozpočet - HW a licencie'!$D$3:$D$105,'TCO TO BE - HW'!$B$15)+SUMIFS('Rozpočet - HW a licencie'!$I$3:$I$105,'Rozpočet - HW a licencie'!$A$3:$A$105,'TCO TO BE - HW'!F$2,'Rozpočet - HW a licencie'!$C$3:$C$105,"SW pre HW",'Rozpočet - HW a licencie'!$G$3:$G$105,'TCO TO BE - HW'!$D5,'Rozpočet - HW a licencie'!$D$3:$D$105,'TCO TO BE - HW'!$B$15),)</f>
        <v>0</v>
      </c>
      <c r="G15" s="576">
        <f>IFERROR(SUMIFS('Rozpočet - HW a licencie'!$I$3:$I$105,'Rozpočet - HW a licencie'!$A$3:$A$105,'TCO TO BE - HW'!G$2,'Rozpočet - HW a licencie'!$C$3:$C$105,"HW",'Rozpočet - HW a licencie'!$G$3:$G$105,'TCO TO BE - HW'!$D5,'Rozpočet - HW a licencie'!$D$3:$D$105,'TCO TO BE - HW'!$B$15)+SUMIFS('Rozpočet - HW a licencie'!$I$3:$I$105,'Rozpočet - HW a licencie'!$A$3:$A$105,'TCO TO BE - HW'!G$2,'Rozpočet - HW a licencie'!$C$3:$C$105,"SW pre HW",'Rozpočet - HW a licencie'!$G$3:$G$105,'TCO TO BE - HW'!$D5,'Rozpočet - HW a licencie'!$D$3:$D$105,'TCO TO BE - HW'!$B$15),)</f>
        <v>0</v>
      </c>
      <c r="H15" s="576">
        <f>IFERROR(SUMIFS('Rozpočet - HW a licencie'!$I$3:$I$105,'Rozpočet - HW a licencie'!$A$3:$A$105,'TCO TO BE - HW'!H$2,'Rozpočet - HW a licencie'!$C$3:$C$105,"HW",'Rozpočet - HW a licencie'!$G$3:$G$105,'TCO TO BE - HW'!$D5,'Rozpočet - HW a licencie'!$D$3:$D$105,'TCO TO BE - HW'!$B$15)+SUMIFS('Rozpočet - HW a licencie'!$I$3:$I$105,'Rozpočet - HW a licencie'!$A$3:$A$105,'TCO TO BE - HW'!H$2,'Rozpočet - HW a licencie'!$C$3:$C$105,"SW pre HW",'Rozpočet - HW a licencie'!$G$3:$G$105,'TCO TO BE - HW'!$D5,'Rozpočet - HW a licencie'!$D$3:$D$105,'TCO TO BE - HW'!$B$15),)</f>
        <v>0</v>
      </c>
      <c r="I15" s="576">
        <f>IFERROR(SUMIFS('Rozpočet - HW a licencie'!$I$3:$I$105,'Rozpočet - HW a licencie'!$A$3:$A$105,'TCO TO BE - HW'!I$2,'Rozpočet - HW a licencie'!$C$3:$C$105,"HW",'Rozpočet - HW a licencie'!$G$3:$G$105,'TCO TO BE - HW'!$D5,'Rozpočet - HW a licencie'!$D$3:$D$105,'TCO TO BE - HW'!$B$15)+SUMIFS('Rozpočet - HW a licencie'!$I$3:$I$105,'Rozpočet - HW a licencie'!$A$3:$A$105,'TCO TO BE - HW'!I$2,'Rozpočet - HW a licencie'!$C$3:$C$105,"SW pre HW",'Rozpočet - HW a licencie'!$G$3:$G$105,'TCO TO BE - HW'!$D5,'Rozpočet - HW a licencie'!$D$3:$D$105,'TCO TO BE - HW'!$B$15),)</f>
        <v>0</v>
      </c>
      <c r="J15" s="576">
        <f>IFERROR(SUMIFS('Rozpočet - HW a licencie'!$I$3:$I$105,'Rozpočet - HW a licencie'!$A$3:$A$105,'TCO TO BE - HW'!J$2,'Rozpočet - HW a licencie'!$C$3:$C$105,"HW",'Rozpočet - HW a licencie'!$G$3:$G$105,'TCO TO BE - HW'!$D5,'Rozpočet - HW a licencie'!$D$3:$D$105,'TCO TO BE - HW'!$B$15)+SUMIFS('Rozpočet - HW a licencie'!$I$3:$I$105,'Rozpočet - HW a licencie'!$A$3:$A$105,'TCO TO BE - HW'!J$2,'Rozpočet - HW a licencie'!$C$3:$C$105,"SW pre HW",'Rozpočet - HW a licencie'!$G$3:$G$105,'TCO TO BE - HW'!$D5,'Rozpočet - HW a licencie'!$D$3:$D$105,'TCO TO BE - HW'!$B$15),)</f>
        <v>0</v>
      </c>
      <c r="K15" s="576">
        <f>IFERROR(SUMIFS('Rozpočet - HW a licencie'!$I$3:$I$105,'Rozpočet - HW a licencie'!$A$3:$A$105,'TCO TO BE - HW'!K$2,'Rozpočet - HW a licencie'!$C$3:$C$105,"HW",'Rozpočet - HW a licencie'!$G$3:$G$105,'TCO TO BE - HW'!$D5,'Rozpočet - HW a licencie'!$D$3:$D$105,'TCO TO BE - HW'!$B$15)+SUMIFS('Rozpočet - HW a licencie'!$I$3:$I$105,'Rozpočet - HW a licencie'!$A$3:$A$105,'TCO TO BE - HW'!K$2,'Rozpočet - HW a licencie'!$C$3:$C$105,"SW pre HW",'Rozpočet - HW a licencie'!$G$3:$G$105,'TCO TO BE - HW'!$D5,'Rozpočet - HW a licencie'!$D$3:$D$105,'TCO TO BE - HW'!$B$15),)</f>
        <v>0</v>
      </c>
      <c r="L15" s="576">
        <f>IFERROR(SUMIFS('Rozpočet - HW a licencie'!$I$3:$I$105,'Rozpočet - HW a licencie'!$A$3:$A$105,'TCO TO BE - HW'!L$2,'Rozpočet - HW a licencie'!$C$3:$C$105,"HW",'Rozpočet - HW a licencie'!$G$3:$G$105,'TCO TO BE - HW'!$D5,'Rozpočet - HW a licencie'!$D$3:$D$105,'TCO TO BE - HW'!$B$15)+SUMIFS('Rozpočet - HW a licencie'!$I$3:$I$105,'Rozpočet - HW a licencie'!$A$3:$A$105,'TCO TO BE - HW'!L$2,'Rozpočet - HW a licencie'!$C$3:$C$105,"SW pre HW",'Rozpočet - HW a licencie'!$G$3:$G$105,'TCO TO BE - HW'!$D5,'Rozpočet - HW a licencie'!$D$3:$D$105,'TCO TO BE - HW'!$B$15),)</f>
        <v>0</v>
      </c>
      <c r="M15" s="576">
        <f>IFERROR(SUMIFS('Rozpočet - HW a licencie'!$I$3:$I$105,'Rozpočet - HW a licencie'!$A$3:$A$105,'TCO TO BE - HW'!M$2,'Rozpočet - HW a licencie'!$C$3:$C$105,"HW",'Rozpočet - HW a licencie'!$G$3:$G$105,'TCO TO BE - HW'!$D5,'Rozpočet - HW a licencie'!$D$3:$D$105,'TCO TO BE - HW'!$B$15)+SUMIFS('Rozpočet - HW a licencie'!$I$3:$I$105,'Rozpočet - HW a licencie'!$A$3:$A$105,'TCO TO BE - HW'!M$2,'Rozpočet - HW a licencie'!$C$3:$C$105,"SW pre HW",'Rozpočet - HW a licencie'!$G$3:$G$105,'TCO TO BE - HW'!$D5,'Rozpočet - HW a licencie'!$D$3:$D$105,'TCO TO BE - HW'!$B$15),)</f>
        <v>0</v>
      </c>
      <c r="N15" s="576">
        <f>IFERROR(SUMIFS('Rozpočet - HW a licencie'!$I$3:$I$105,'Rozpočet - HW a licencie'!$A$3:$A$105,'TCO TO BE - HW'!N$2,'Rozpočet - HW a licencie'!$C$3:$C$105,"HW",'Rozpočet - HW a licencie'!$G$3:$G$105,'TCO TO BE - HW'!$D5,'Rozpočet - HW a licencie'!$D$3:$D$105,'TCO TO BE - HW'!$B$15)+SUMIFS('Rozpočet - HW a licencie'!$I$3:$I$105,'Rozpočet - HW a licencie'!$A$3:$A$105,'TCO TO BE - HW'!N$2,'Rozpočet - HW a licencie'!$C$3:$C$105,"SW pre HW",'Rozpočet - HW a licencie'!$G$3:$G$105,'TCO TO BE - HW'!$D5,'Rozpočet - HW a licencie'!$D$3:$D$105,'TCO TO BE - HW'!$B$15),)</f>
        <v>0</v>
      </c>
      <c r="O15" s="576">
        <f>IFERROR(SUMIFS('Rozpočet - HW a licencie'!$I$3:$I$105,'Rozpočet - HW a licencie'!$A$3:$A$105,'TCO TO BE - HW'!O$2,'Rozpočet - HW a licencie'!$C$3:$C$105,"HW",'Rozpočet - HW a licencie'!$G$3:$G$105,'TCO TO BE - HW'!$D5,'Rozpočet - HW a licencie'!$D$3:$D$105,'TCO TO BE - HW'!$B$15)+SUMIFS('Rozpočet - HW a licencie'!$I$3:$I$105,'Rozpočet - HW a licencie'!$A$3:$A$105,'TCO TO BE - HW'!O$2,'Rozpočet - HW a licencie'!$C$3:$C$105,"SW pre HW",'Rozpočet - HW a licencie'!$G$3:$G$105,'TCO TO BE - HW'!$D5,'Rozpočet - HW a licencie'!$D$3:$D$105,'TCO TO BE - HW'!$B$15),)</f>
        <v>0</v>
      </c>
      <c r="P15" s="576">
        <f>IFERROR(SUMIFS('Rozpočet - HW a licencie'!$I$3:$I$105,'Rozpočet - HW a licencie'!$A$3:$A$105,'TCO TO BE - HW'!P$2,'Rozpočet - HW a licencie'!$C$3:$C$105,"HW",'Rozpočet - HW a licencie'!$G$3:$G$105,'TCO TO BE - HW'!$D5,'Rozpočet - HW a licencie'!$D$3:$D$105,'TCO TO BE - HW'!$B$15)+SUMIFS('Rozpočet - HW a licencie'!$I$3:$I$105,'Rozpočet - HW a licencie'!$A$3:$A$105,'TCO TO BE - HW'!P$2,'Rozpočet - HW a licencie'!$C$3:$C$105,"SW pre HW",'Rozpočet - HW a licencie'!$G$3:$G$105,'TCO TO BE - HW'!$D5,'Rozpočet - HW a licencie'!$D$3:$D$105,'TCO TO BE - HW'!$B$15),)</f>
        <v>0</v>
      </c>
      <c r="Q15" s="576">
        <f>IFERROR(SUMIFS('Rozpočet - HW a licencie'!$I$3:$I$105,'Rozpočet - HW a licencie'!$A$3:$A$105,'TCO TO BE - HW'!Q$2,'Rozpočet - HW a licencie'!$C$3:$C$105,"HW",'Rozpočet - HW a licencie'!$G$3:$G$105,'TCO TO BE - HW'!$D5,'Rozpočet - HW a licencie'!$D$3:$D$105,'TCO TO BE - HW'!$B$15)+SUMIFS('Rozpočet - HW a licencie'!$I$3:$I$105,'Rozpočet - HW a licencie'!$A$3:$A$105,'TCO TO BE - HW'!Q$2,'Rozpočet - HW a licencie'!$C$3:$C$105,"SW pre HW",'Rozpočet - HW a licencie'!$G$3:$G$105,'TCO TO BE - HW'!$D5,'Rozpočet - HW a licencie'!$D$3:$D$105,'TCO TO BE - HW'!$B$15),)</f>
        <v>0</v>
      </c>
      <c r="R15" s="576">
        <f>IFERROR(SUMIFS('Rozpočet - HW a licencie'!$I$3:$I$105,'Rozpočet - HW a licencie'!$A$3:$A$105,'TCO TO BE - HW'!R$2,'Rozpočet - HW a licencie'!$C$3:$C$105,"HW",'Rozpočet - HW a licencie'!$G$3:$G$105,'TCO TO BE - HW'!$D5,'Rozpočet - HW a licencie'!$D$3:$D$105,'TCO TO BE - HW'!$B$15)+SUMIFS('Rozpočet - HW a licencie'!$I$3:$I$105,'Rozpočet - HW a licencie'!$A$3:$A$105,'TCO TO BE - HW'!R$2,'Rozpočet - HW a licencie'!$C$3:$C$105,"SW pre HW",'Rozpočet - HW a licencie'!$G$3:$G$105,'TCO TO BE - HW'!$D5,'Rozpočet - HW a licencie'!$D$3:$D$105,'TCO TO BE - HW'!$B$15),)</f>
        <v>0</v>
      </c>
      <c r="S15" s="576">
        <f>IFERROR(SUMIFS('Rozpočet - HW a licencie'!$I$3:$I$105,'Rozpočet - HW a licencie'!$A$3:$A$105,'TCO TO BE - HW'!S$2,'Rozpočet - HW a licencie'!$C$3:$C$105,"HW",'Rozpočet - HW a licencie'!$G$3:$G$105,'TCO TO BE - HW'!$D5,'Rozpočet - HW a licencie'!$D$3:$D$105,'TCO TO BE - HW'!$B$15)+SUMIFS('Rozpočet - HW a licencie'!$I$3:$I$105,'Rozpočet - HW a licencie'!$A$3:$A$105,'TCO TO BE - HW'!S$2,'Rozpočet - HW a licencie'!$C$3:$C$105,"SW pre HW",'Rozpočet - HW a licencie'!$G$3:$G$105,'TCO TO BE - HW'!$D5,'Rozpočet - HW a licencie'!$D$3:$D$105,'TCO TO BE - HW'!$B$15),)</f>
        <v>0</v>
      </c>
      <c r="T15" s="576">
        <f>IFERROR(SUMIFS('Rozpočet - HW a licencie'!$I$3:$I$105,'Rozpočet - HW a licencie'!$A$3:$A$105,'TCO TO BE - HW'!T$2,'Rozpočet - HW a licencie'!$C$3:$C$105,"HW",'Rozpočet - HW a licencie'!$G$3:$G$105,'TCO TO BE - HW'!$D5,'Rozpočet - HW a licencie'!$D$3:$D$105,'TCO TO BE - HW'!$B$15)+SUMIFS('Rozpočet - HW a licencie'!$I$3:$I$105,'Rozpočet - HW a licencie'!$A$3:$A$105,'TCO TO BE - HW'!T$2,'Rozpočet - HW a licencie'!$C$3:$C$105,"SW pre HW",'Rozpočet - HW a licencie'!$G$3:$G$105,'TCO TO BE - HW'!$D5,'Rozpočet - HW a licencie'!$D$3:$D$105,'TCO TO BE - HW'!$B$15),)</f>
        <v>0</v>
      </c>
      <c r="U15" s="576">
        <f>IFERROR(SUMIFS('Rozpočet - HW a licencie'!$I$3:$I$105,'Rozpočet - HW a licencie'!$A$3:$A$105,'TCO TO BE - HW'!U$2,'Rozpočet - HW a licencie'!$C$3:$C$105,"HW",'Rozpočet - HW a licencie'!$G$3:$G$105,'TCO TO BE - HW'!$D5,'Rozpočet - HW a licencie'!$D$3:$D$105,'TCO TO BE - HW'!$B$15)+SUMIFS('Rozpočet - HW a licencie'!$I$3:$I$105,'Rozpočet - HW a licencie'!$A$3:$A$105,'TCO TO BE - HW'!U$2,'Rozpočet - HW a licencie'!$C$3:$C$105,"SW pre HW",'Rozpočet - HW a licencie'!$G$3:$G$105,'TCO TO BE - HW'!$D5,'Rozpočet - HW a licencie'!$D$3:$D$105,'TCO TO BE - HW'!$B$15),)</f>
        <v>0</v>
      </c>
      <c r="V15" s="576">
        <f>IFERROR(SUMIFS('Rozpočet - HW a licencie'!$I$3:$I$105,'Rozpočet - HW a licencie'!$A$3:$A$105,'TCO TO BE - HW'!V$2,'Rozpočet - HW a licencie'!$C$3:$C$105,"HW",'Rozpočet - HW a licencie'!$G$3:$G$105,'TCO TO BE - HW'!$D5,'Rozpočet - HW a licencie'!$D$3:$D$105,'TCO TO BE - HW'!$B$15)+SUMIFS('Rozpočet - HW a licencie'!$I$3:$I$105,'Rozpočet - HW a licencie'!$A$3:$A$105,'TCO TO BE - HW'!V$2,'Rozpočet - HW a licencie'!$C$3:$C$105,"SW pre HW",'Rozpočet - HW a licencie'!$G$3:$G$105,'TCO TO BE - HW'!$D5,'Rozpočet - HW a licencie'!$D$3:$D$105,'TCO TO BE - HW'!$B$15),)</f>
        <v>0</v>
      </c>
      <c r="W15" s="576">
        <f>IFERROR(SUMIFS('Rozpočet - HW a licencie'!$I$3:$I$105,'Rozpočet - HW a licencie'!$A$3:$A$105,'TCO TO BE - HW'!W$2,'Rozpočet - HW a licencie'!$C$3:$C$105,"HW",'Rozpočet - HW a licencie'!$G$3:$G$105,'TCO TO BE - HW'!$D5,'Rozpočet - HW a licencie'!$D$3:$D$105,'TCO TO BE - HW'!$B$15)+SUMIFS('Rozpočet - HW a licencie'!$I$3:$I$105,'Rozpočet - HW a licencie'!$A$3:$A$105,'TCO TO BE - HW'!W$2,'Rozpočet - HW a licencie'!$C$3:$C$105,"SW pre HW",'Rozpočet - HW a licencie'!$G$3:$G$105,'TCO TO BE - HW'!$D5,'Rozpočet - HW a licencie'!$D$3:$D$105,'TCO TO BE - HW'!$B$15),)</f>
        <v>0</v>
      </c>
      <c r="X15" s="576">
        <f>IFERROR(SUMIFS('Rozpočet - HW a licencie'!$I$3:$I$105,'Rozpočet - HW a licencie'!$A$3:$A$105,'TCO TO BE - HW'!X$2,'Rozpočet - HW a licencie'!$C$3:$C$105,"HW",'Rozpočet - HW a licencie'!$G$3:$G$105,'TCO TO BE - HW'!$D5,'Rozpočet - HW a licencie'!$D$3:$D$105,'TCO TO BE - HW'!$B$15)+SUMIFS('Rozpočet - HW a licencie'!$I$3:$I$105,'Rozpočet - HW a licencie'!$A$3:$A$105,'TCO TO BE - HW'!X$2,'Rozpočet - HW a licencie'!$C$3:$C$105,"SW pre HW",'Rozpočet - HW a licencie'!$G$3:$G$105,'TCO TO BE - HW'!$D5,'Rozpočet - HW a licencie'!$D$3:$D$105,'TCO TO BE - HW'!$B$15),)</f>
        <v>0</v>
      </c>
      <c r="Y15" s="576">
        <f>IFERROR(SUMIFS('Rozpočet - HW a licencie'!$I$3:$I$105,'Rozpočet - HW a licencie'!$A$3:$A$105,'TCO TO BE - HW'!Y$2,'Rozpočet - HW a licencie'!$C$3:$C$105,"HW",'Rozpočet - HW a licencie'!$G$3:$G$105,'TCO TO BE - HW'!$D5,'Rozpočet - HW a licencie'!$D$3:$D$105,'TCO TO BE - HW'!$B$15)+SUMIFS('Rozpočet - HW a licencie'!$I$3:$I$105,'Rozpočet - HW a licencie'!$A$3:$A$105,'TCO TO BE - HW'!Y$2,'Rozpočet - HW a licencie'!$C$3:$C$105,"SW pre HW",'Rozpočet - HW a licencie'!$G$3:$G$105,'TCO TO BE - HW'!$D5,'Rozpočet - HW a licencie'!$D$3:$D$105,'TCO TO BE - HW'!$B$15),)</f>
        <v>0</v>
      </c>
      <c r="Z15" s="576">
        <f>IFERROR(SUMIFS('Rozpočet - HW a licencie'!$I$3:$I$105,'Rozpočet - HW a licencie'!$A$3:$A$105,'TCO TO BE - HW'!Z$2,'Rozpočet - HW a licencie'!$C$3:$C$105,"HW",'Rozpočet - HW a licencie'!$G$3:$G$105,'TCO TO BE - HW'!$D5,'Rozpočet - HW a licencie'!$D$3:$D$105,'TCO TO BE - HW'!$B$15)+SUMIFS('Rozpočet - HW a licencie'!$I$3:$I$105,'Rozpočet - HW a licencie'!$A$3:$A$105,'TCO TO BE - HW'!Z$2,'Rozpočet - HW a licencie'!$C$3:$C$105,"SW pre HW",'Rozpočet - HW a licencie'!$G$3:$G$105,'TCO TO BE - HW'!$D5,'Rozpočet - HW a licencie'!$D$3:$D$105,'TCO TO BE - HW'!$B$15),)</f>
        <v>0</v>
      </c>
    </row>
    <row r="16" spans="1:26" outlineLevel="1">
      <c r="A16" s="824"/>
      <c r="B16" s="825"/>
      <c r="C16" s="825"/>
      <c r="D16" s="498">
        <v>2</v>
      </c>
      <c r="E16" s="68">
        <f t="shared" si="2"/>
        <v>0</v>
      </c>
      <c r="F16" s="577">
        <f>IFERROR(SUMIFS('Rozpočet - HW a licencie'!$I$3:$I$105,'Rozpočet - HW a licencie'!$A$3:$A$105,'TCO TO BE - HW'!F$2,'Rozpočet - HW a licencie'!$C$3:$C$105,"HW",'Rozpočet - HW a licencie'!$G$3:$G$105,'TCO TO BE - HW'!$D6,'Rozpočet - HW a licencie'!$D$3:$D$105,'TCO TO BE - HW'!$B$15)+SUMIFS('Rozpočet - HW a licencie'!$I$3:$I$105,'Rozpočet - HW a licencie'!$A$3:$A$105,'TCO TO BE - HW'!F$2,'Rozpočet - HW a licencie'!$C$3:$C$105,"SW pre HW",'Rozpočet - HW a licencie'!$G$3:$G$105,'TCO TO BE - HW'!$D6,'Rozpočet - HW a licencie'!$D$3:$D$105,'TCO TO BE - HW'!$B$15),)</f>
        <v>0</v>
      </c>
      <c r="G16" s="577">
        <f>IFERROR(SUMIFS('Rozpočet - HW a licencie'!$I$3:$I$105,'Rozpočet - HW a licencie'!$A$3:$A$105,'TCO TO BE - HW'!G$2,'Rozpočet - HW a licencie'!$C$3:$C$105,"HW",'Rozpočet - HW a licencie'!$G$3:$G$105,'TCO TO BE - HW'!$D6,'Rozpočet - HW a licencie'!$D$3:$D$105,'TCO TO BE - HW'!$B$15)+SUMIFS('Rozpočet - HW a licencie'!$I$3:$I$105,'Rozpočet - HW a licencie'!$A$3:$A$105,'TCO TO BE - HW'!G$2,'Rozpočet - HW a licencie'!$C$3:$C$105,"SW pre HW",'Rozpočet - HW a licencie'!$G$3:$G$105,'TCO TO BE - HW'!$D6,'Rozpočet - HW a licencie'!$D$3:$D$105,'TCO TO BE - HW'!$B$15),)</f>
        <v>0</v>
      </c>
      <c r="H16" s="577">
        <f>IFERROR(SUMIFS('Rozpočet - HW a licencie'!$I$3:$I$105,'Rozpočet - HW a licencie'!$A$3:$A$105,'TCO TO BE - HW'!H$2,'Rozpočet - HW a licencie'!$C$3:$C$105,"HW",'Rozpočet - HW a licencie'!$G$3:$G$105,'TCO TO BE - HW'!$D6,'Rozpočet - HW a licencie'!$D$3:$D$105,'TCO TO BE - HW'!$B$15)+SUMIFS('Rozpočet - HW a licencie'!$I$3:$I$105,'Rozpočet - HW a licencie'!$A$3:$A$105,'TCO TO BE - HW'!H$2,'Rozpočet - HW a licencie'!$C$3:$C$105,"SW pre HW",'Rozpočet - HW a licencie'!$G$3:$G$105,'TCO TO BE - HW'!$D6,'Rozpočet - HW a licencie'!$D$3:$D$105,'TCO TO BE - HW'!$B$15),)</f>
        <v>0</v>
      </c>
      <c r="I16" s="577">
        <f>IFERROR(SUMIFS('Rozpočet - HW a licencie'!$I$3:$I$105,'Rozpočet - HW a licencie'!$A$3:$A$105,'TCO TO BE - HW'!I$2,'Rozpočet - HW a licencie'!$C$3:$C$105,"HW",'Rozpočet - HW a licencie'!$G$3:$G$105,'TCO TO BE - HW'!$D6,'Rozpočet - HW a licencie'!$D$3:$D$105,'TCO TO BE - HW'!$B$15)+SUMIFS('Rozpočet - HW a licencie'!$I$3:$I$105,'Rozpočet - HW a licencie'!$A$3:$A$105,'TCO TO BE - HW'!I$2,'Rozpočet - HW a licencie'!$C$3:$C$105,"SW pre HW",'Rozpočet - HW a licencie'!$G$3:$G$105,'TCO TO BE - HW'!$D6,'Rozpočet - HW a licencie'!$D$3:$D$105,'TCO TO BE - HW'!$B$15),)</f>
        <v>0</v>
      </c>
      <c r="J16" s="577">
        <f>IFERROR(SUMIFS('Rozpočet - HW a licencie'!$I$3:$I$105,'Rozpočet - HW a licencie'!$A$3:$A$105,'TCO TO BE - HW'!J$2,'Rozpočet - HW a licencie'!$C$3:$C$105,"HW",'Rozpočet - HW a licencie'!$G$3:$G$105,'TCO TO BE - HW'!$D6,'Rozpočet - HW a licencie'!$D$3:$D$105,'TCO TO BE - HW'!$B$15)+SUMIFS('Rozpočet - HW a licencie'!$I$3:$I$105,'Rozpočet - HW a licencie'!$A$3:$A$105,'TCO TO BE - HW'!J$2,'Rozpočet - HW a licencie'!$C$3:$C$105,"SW pre HW",'Rozpočet - HW a licencie'!$G$3:$G$105,'TCO TO BE - HW'!$D6,'Rozpočet - HW a licencie'!$D$3:$D$105,'TCO TO BE - HW'!$B$15),)</f>
        <v>0</v>
      </c>
      <c r="K16" s="577">
        <f>IFERROR(SUMIFS('Rozpočet - HW a licencie'!$I$3:$I$105,'Rozpočet - HW a licencie'!$A$3:$A$105,'TCO TO BE - HW'!K$2,'Rozpočet - HW a licencie'!$C$3:$C$105,"HW",'Rozpočet - HW a licencie'!$G$3:$G$105,'TCO TO BE - HW'!$D6,'Rozpočet - HW a licencie'!$D$3:$D$105,'TCO TO BE - HW'!$B$15)+SUMIFS('Rozpočet - HW a licencie'!$I$3:$I$105,'Rozpočet - HW a licencie'!$A$3:$A$105,'TCO TO BE - HW'!K$2,'Rozpočet - HW a licencie'!$C$3:$C$105,"SW pre HW",'Rozpočet - HW a licencie'!$G$3:$G$105,'TCO TO BE - HW'!$D6,'Rozpočet - HW a licencie'!$D$3:$D$105,'TCO TO BE - HW'!$B$15),)</f>
        <v>0</v>
      </c>
      <c r="L16" s="577">
        <f>IFERROR(SUMIFS('Rozpočet - HW a licencie'!$I$3:$I$105,'Rozpočet - HW a licencie'!$A$3:$A$105,'TCO TO BE - HW'!L$2,'Rozpočet - HW a licencie'!$C$3:$C$105,"HW",'Rozpočet - HW a licencie'!$G$3:$G$105,'TCO TO BE - HW'!$D6,'Rozpočet - HW a licencie'!$D$3:$D$105,'TCO TO BE - HW'!$B$15)+SUMIFS('Rozpočet - HW a licencie'!$I$3:$I$105,'Rozpočet - HW a licencie'!$A$3:$A$105,'TCO TO BE - HW'!L$2,'Rozpočet - HW a licencie'!$C$3:$C$105,"SW pre HW",'Rozpočet - HW a licencie'!$G$3:$G$105,'TCO TO BE - HW'!$D6,'Rozpočet - HW a licencie'!$D$3:$D$105,'TCO TO BE - HW'!$B$15),)</f>
        <v>0</v>
      </c>
      <c r="M16" s="577">
        <f>IFERROR(SUMIFS('Rozpočet - HW a licencie'!$I$3:$I$105,'Rozpočet - HW a licencie'!$A$3:$A$105,'TCO TO BE - HW'!M$2,'Rozpočet - HW a licencie'!$C$3:$C$105,"HW",'Rozpočet - HW a licencie'!$G$3:$G$105,'TCO TO BE - HW'!$D6,'Rozpočet - HW a licencie'!$D$3:$D$105,'TCO TO BE - HW'!$B$15)+SUMIFS('Rozpočet - HW a licencie'!$I$3:$I$105,'Rozpočet - HW a licencie'!$A$3:$A$105,'TCO TO BE - HW'!M$2,'Rozpočet - HW a licencie'!$C$3:$C$105,"SW pre HW",'Rozpočet - HW a licencie'!$G$3:$G$105,'TCO TO BE - HW'!$D6,'Rozpočet - HW a licencie'!$D$3:$D$105,'TCO TO BE - HW'!$B$15),)</f>
        <v>0</v>
      </c>
      <c r="N16" s="577">
        <f>IFERROR(SUMIFS('Rozpočet - HW a licencie'!$I$3:$I$105,'Rozpočet - HW a licencie'!$A$3:$A$105,'TCO TO BE - HW'!N$2,'Rozpočet - HW a licencie'!$C$3:$C$105,"HW",'Rozpočet - HW a licencie'!$G$3:$G$105,'TCO TO BE - HW'!$D6,'Rozpočet - HW a licencie'!$D$3:$D$105,'TCO TO BE - HW'!$B$15)+SUMIFS('Rozpočet - HW a licencie'!$I$3:$I$105,'Rozpočet - HW a licencie'!$A$3:$A$105,'TCO TO BE - HW'!N$2,'Rozpočet - HW a licencie'!$C$3:$C$105,"SW pre HW",'Rozpočet - HW a licencie'!$G$3:$G$105,'TCO TO BE - HW'!$D6,'Rozpočet - HW a licencie'!$D$3:$D$105,'TCO TO BE - HW'!$B$15),)</f>
        <v>0</v>
      </c>
      <c r="O16" s="577">
        <f>IFERROR(SUMIFS('Rozpočet - HW a licencie'!$I$3:$I$105,'Rozpočet - HW a licencie'!$A$3:$A$105,'TCO TO BE - HW'!O$2,'Rozpočet - HW a licencie'!$C$3:$C$105,"HW",'Rozpočet - HW a licencie'!$G$3:$G$105,'TCO TO BE - HW'!$D6,'Rozpočet - HW a licencie'!$D$3:$D$105,'TCO TO BE - HW'!$B$15)+SUMIFS('Rozpočet - HW a licencie'!$I$3:$I$105,'Rozpočet - HW a licencie'!$A$3:$A$105,'TCO TO BE - HW'!O$2,'Rozpočet - HW a licencie'!$C$3:$C$105,"SW pre HW",'Rozpočet - HW a licencie'!$G$3:$G$105,'TCO TO BE - HW'!$D6,'Rozpočet - HW a licencie'!$D$3:$D$105,'TCO TO BE - HW'!$B$15),)</f>
        <v>0</v>
      </c>
      <c r="P16" s="577">
        <f>IFERROR(SUMIFS('Rozpočet - HW a licencie'!$I$3:$I$105,'Rozpočet - HW a licencie'!$A$3:$A$105,'TCO TO BE - HW'!P$2,'Rozpočet - HW a licencie'!$C$3:$C$105,"HW",'Rozpočet - HW a licencie'!$G$3:$G$105,'TCO TO BE - HW'!$D6,'Rozpočet - HW a licencie'!$D$3:$D$105,'TCO TO BE - HW'!$B$15)+SUMIFS('Rozpočet - HW a licencie'!$I$3:$I$105,'Rozpočet - HW a licencie'!$A$3:$A$105,'TCO TO BE - HW'!P$2,'Rozpočet - HW a licencie'!$C$3:$C$105,"SW pre HW",'Rozpočet - HW a licencie'!$G$3:$G$105,'TCO TO BE - HW'!$D6,'Rozpočet - HW a licencie'!$D$3:$D$105,'TCO TO BE - HW'!$B$15),)</f>
        <v>0</v>
      </c>
      <c r="Q16" s="577">
        <f>IFERROR(SUMIFS('Rozpočet - HW a licencie'!$I$3:$I$105,'Rozpočet - HW a licencie'!$A$3:$A$105,'TCO TO BE - HW'!Q$2,'Rozpočet - HW a licencie'!$C$3:$C$105,"HW",'Rozpočet - HW a licencie'!$G$3:$G$105,'TCO TO BE - HW'!$D6,'Rozpočet - HW a licencie'!$D$3:$D$105,'TCO TO BE - HW'!$B$15)+SUMIFS('Rozpočet - HW a licencie'!$I$3:$I$105,'Rozpočet - HW a licencie'!$A$3:$A$105,'TCO TO BE - HW'!Q$2,'Rozpočet - HW a licencie'!$C$3:$C$105,"SW pre HW",'Rozpočet - HW a licencie'!$G$3:$G$105,'TCO TO BE - HW'!$D6,'Rozpočet - HW a licencie'!$D$3:$D$105,'TCO TO BE - HW'!$B$15),)</f>
        <v>0</v>
      </c>
      <c r="R16" s="577">
        <f>IFERROR(SUMIFS('Rozpočet - HW a licencie'!$I$3:$I$105,'Rozpočet - HW a licencie'!$A$3:$A$105,'TCO TO BE - HW'!R$2,'Rozpočet - HW a licencie'!$C$3:$C$105,"HW",'Rozpočet - HW a licencie'!$G$3:$G$105,'TCO TO BE - HW'!$D6,'Rozpočet - HW a licencie'!$D$3:$D$105,'TCO TO BE - HW'!$B$15)+SUMIFS('Rozpočet - HW a licencie'!$I$3:$I$105,'Rozpočet - HW a licencie'!$A$3:$A$105,'TCO TO BE - HW'!R$2,'Rozpočet - HW a licencie'!$C$3:$C$105,"SW pre HW",'Rozpočet - HW a licencie'!$G$3:$G$105,'TCO TO BE - HW'!$D6,'Rozpočet - HW a licencie'!$D$3:$D$105,'TCO TO BE - HW'!$B$15),)</f>
        <v>0</v>
      </c>
      <c r="S16" s="577">
        <f>IFERROR(SUMIFS('Rozpočet - HW a licencie'!$I$3:$I$105,'Rozpočet - HW a licencie'!$A$3:$A$105,'TCO TO BE - HW'!S$2,'Rozpočet - HW a licencie'!$C$3:$C$105,"HW",'Rozpočet - HW a licencie'!$G$3:$G$105,'TCO TO BE - HW'!$D6,'Rozpočet - HW a licencie'!$D$3:$D$105,'TCO TO BE - HW'!$B$15)+SUMIFS('Rozpočet - HW a licencie'!$I$3:$I$105,'Rozpočet - HW a licencie'!$A$3:$A$105,'TCO TO BE - HW'!S$2,'Rozpočet - HW a licencie'!$C$3:$C$105,"SW pre HW",'Rozpočet - HW a licencie'!$G$3:$G$105,'TCO TO BE - HW'!$D6,'Rozpočet - HW a licencie'!$D$3:$D$105,'TCO TO BE - HW'!$B$15),)</f>
        <v>0</v>
      </c>
      <c r="T16" s="577">
        <f>IFERROR(SUMIFS('Rozpočet - HW a licencie'!$I$3:$I$105,'Rozpočet - HW a licencie'!$A$3:$A$105,'TCO TO BE - HW'!T$2,'Rozpočet - HW a licencie'!$C$3:$C$105,"HW",'Rozpočet - HW a licencie'!$G$3:$G$105,'TCO TO BE - HW'!$D6,'Rozpočet - HW a licencie'!$D$3:$D$105,'TCO TO BE - HW'!$B$15)+SUMIFS('Rozpočet - HW a licencie'!$I$3:$I$105,'Rozpočet - HW a licencie'!$A$3:$A$105,'TCO TO BE - HW'!T$2,'Rozpočet - HW a licencie'!$C$3:$C$105,"SW pre HW",'Rozpočet - HW a licencie'!$G$3:$G$105,'TCO TO BE - HW'!$D6,'Rozpočet - HW a licencie'!$D$3:$D$105,'TCO TO BE - HW'!$B$15),)</f>
        <v>0</v>
      </c>
      <c r="U16" s="577">
        <f>IFERROR(SUMIFS('Rozpočet - HW a licencie'!$I$3:$I$105,'Rozpočet - HW a licencie'!$A$3:$A$105,'TCO TO BE - HW'!U$2,'Rozpočet - HW a licencie'!$C$3:$C$105,"HW",'Rozpočet - HW a licencie'!$G$3:$G$105,'TCO TO BE - HW'!$D6,'Rozpočet - HW a licencie'!$D$3:$D$105,'TCO TO BE - HW'!$B$15)+SUMIFS('Rozpočet - HW a licencie'!$I$3:$I$105,'Rozpočet - HW a licencie'!$A$3:$A$105,'TCO TO BE - HW'!U$2,'Rozpočet - HW a licencie'!$C$3:$C$105,"SW pre HW",'Rozpočet - HW a licencie'!$G$3:$G$105,'TCO TO BE - HW'!$D6,'Rozpočet - HW a licencie'!$D$3:$D$105,'TCO TO BE - HW'!$B$15),)</f>
        <v>0</v>
      </c>
      <c r="V16" s="577">
        <f>IFERROR(SUMIFS('Rozpočet - HW a licencie'!$I$3:$I$105,'Rozpočet - HW a licencie'!$A$3:$A$105,'TCO TO BE - HW'!V$2,'Rozpočet - HW a licencie'!$C$3:$C$105,"HW",'Rozpočet - HW a licencie'!$G$3:$G$105,'TCO TO BE - HW'!$D6,'Rozpočet - HW a licencie'!$D$3:$D$105,'TCO TO BE - HW'!$B$15)+SUMIFS('Rozpočet - HW a licencie'!$I$3:$I$105,'Rozpočet - HW a licencie'!$A$3:$A$105,'TCO TO BE - HW'!V$2,'Rozpočet - HW a licencie'!$C$3:$C$105,"SW pre HW",'Rozpočet - HW a licencie'!$G$3:$G$105,'TCO TO BE - HW'!$D6,'Rozpočet - HW a licencie'!$D$3:$D$105,'TCO TO BE - HW'!$B$15),)</f>
        <v>0</v>
      </c>
      <c r="W16" s="577">
        <f>IFERROR(SUMIFS('Rozpočet - HW a licencie'!$I$3:$I$105,'Rozpočet - HW a licencie'!$A$3:$A$105,'TCO TO BE - HW'!W$2,'Rozpočet - HW a licencie'!$C$3:$C$105,"HW",'Rozpočet - HW a licencie'!$G$3:$G$105,'TCO TO BE - HW'!$D6,'Rozpočet - HW a licencie'!$D$3:$D$105,'TCO TO BE - HW'!$B$15)+SUMIFS('Rozpočet - HW a licencie'!$I$3:$I$105,'Rozpočet - HW a licencie'!$A$3:$A$105,'TCO TO BE - HW'!W$2,'Rozpočet - HW a licencie'!$C$3:$C$105,"SW pre HW",'Rozpočet - HW a licencie'!$G$3:$G$105,'TCO TO BE - HW'!$D6,'Rozpočet - HW a licencie'!$D$3:$D$105,'TCO TO BE - HW'!$B$15),)</f>
        <v>0</v>
      </c>
      <c r="X16" s="577">
        <f>IFERROR(SUMIFS('Rozpočet - HW a licencie'!$I$3:$I$105,'Rozpočet - HW a licencie'!$A$3:$A$105,'TCO TO BE - HW'!X$2,'Rozpočet - HW a licencie'!$C$3:$C$105,"HW",'Rozpočet - HW a licencie'!$G$3:$G$105,'TCO TO BE - HW'!$D6,'Rozpočet - HW a licencie'!$D$3:$D$105,'TCO TO BE - HW'!$B$15)+SUMIFS('Rozpočet - HW a licencie'!$I$3:$I$105,'Rozpočet - HW a licencie'!$A$3:$A$105,'TCO TO BE - HW'!X$2,'Rozpočet - HW a licencie'!$C$3:$C$105,"SW pre HW",'Rozpočet - HW a licencie'!$G$3:$G$105,'TCO TO BE - HW'!$D6,'Rozpočet - HW a licencie'!$D$3:$D$105,'TCO TO BE - HW'!$B$15),)</f>
        <v>0</v>
      </c>
      <c r="Y16" s="577">
        <f>IFERROR(SUMIFS('Rozpočet - HW a licencie'!$I$3:$I$105,'Rozpočet - HW a licencie'!$A$3:$A$105,'TCO TO BE - HW'!Y$2,'Rozpočet - HW a licencie'!$C$3:$C$105,"HW",'Rozpočet - HW a licencie'!$G$3:$G$105,'TCO TO BE - HW'!$D6,'Rozpočet - HW a licencie'!$D$3:$D$105,'TCO TO BE - HW'!$B$15)+SUMIFS('Rozpočet - HW a licencie'!$I$3:$I$105,'Rozpočet - HW a licencie'!$A$3:$A$105,'TCO TO BE - HW'!Y$2,'Rozpočet - HW a licencie'!$C$3:$C$105,"SW pre HW",'Rozpočet - HW a licencie'!$G$3:$G$105,'TCO TO BE - HW'!$D6,'Rozpočet - HW a licencie'!$D$3:$D$105,'TCO TO BE - HW'!$B$15),)</f>
        <v>0</v>
      </c>
      <c r="Z16" s="577">
        <f>IFERROR(SUMIFS('Rozpočet - HW a licencie'!$I$3:$I$105,'Rozpočet - HW a licencie'!$A$3:$A$105,'TCO TO BE - HW'!Z$2,'Rozpočet - HW a licencie'!$C$3:$C$105,"HW",'Rozpočet - HW a licencie'!$G$3:$G$105,'TCO TO BE - HW'!$D6,'Rozpočet - HW a licencie'!$D$3:$D$105,'TCO TO BE - HW'!$B$15)+SUMIFS('Rozpočet - HW a licencie'!$I$3:$I$105,'Rozpočet - HW a licencie'!$A$3:$A$105,'TCO TO BE - HW'!Z$2,'Rozpočet - HW a licencie'!$C$3:$C$105,"SW pre HW",'Rozpočet - HW a licencie'!$G$3:$G$105,'TCO TO BE - HW'!$D6,'Rozpočet - HW a licencie'!$D$3:$D$105,'TCO TO BE - HW'!$B$15),)</f>
        <v>0</v>
      </c>
    </row>
    <row r="17" spans="1:26" outlineLevel="1">
      <c r="A17" s="824"/>
      <c r="B17" s="825"/>
      <c r="C17" s="825"/>
      <c r="D17" s="498">
        <v>3</v>
      </c>
      <c r="E17" s="68">
        <f t="shared" si="2"/>
        <v>0</v>
      </c>
      <c r="F17" s="577">
        <f>IFERROR(SUMIFS('Rozpočet - HW a licencie'!$I$3:$I$105,'Rozpočet - HW a licencie'!$A$3:$A$105,'TCO TO BE - HW'!F$2,'Rozpočet - HW a licencie'!$C$3:$C$105,"HW",'Rozpočet - HW a licencie'!$G$3:$G$105,'TCO TO BE - HW'!$D7,'Rozpočet - HW a licencie'!$D$3:$D$105,'TCO TO BE - HW'!$B$15)+SUMIFS('Rozpočet - HW a licencie'!$I$3:$I$105,'Rozpočet - HW a licencie'!$A$3:$A$105,'TCO TO BE - HW'!F$2,'Rozpočet - HW a licencie'!$C$3:$C$105,"SW pre HW",'Rozpočet - HW a licencie'!$G$3:$G$105,'TCO TO BE - HW'!$D7,'Rozpočet - HW a licencie'!$D$3:$D$105,'TCO TO BE - HW'!$B$15),)</f>
        <v>0</v>
      </c>
      <c r="G17" s="577">
        <f>IFERROR(SUMIFS('Rozpočet - HW a licencie'!$I$3:$I$105,'Rozpočet - HW a licencie'!$A$3:$A$105,'TCO TO BE - HW'!G$2,'Rozpočet - HW a licencie'!$C$3:$C$105,"HW",'Rozpočet - HW a licencie'!$G$3:$G$105,'TCO TO BE - HW'!$D7,'Rozpočet - HW a licencie'!$D$3:$D$105,'TCO TO BE - HW'!$B$15)+SUMIFS('Rozpočet - HW a licencie'!$I$3:$I$105,'Rozpočet - HW a licencie'!$A$3:$A$105,'TCO TO BE - HW'!G$2,'Rozpočet - HW a licencie'!$C$3:$C$105,"SW pre HW",'Rozpočet - HW a licencie'!$G$3:$G$105,'TCO TO BE - HW'!$D7,'Rozpočet - HW a licencie'!$D$3:$D$105,'TCO TO BE - HW'!$B$15),)</f>
        <v>0</v>
      </c>
      <c r="H17" s="577">
        <f>IFERROR(SUMIFS('Rozpočet - HW a licencie'!$I$3:$I$105,'Rozpočet - HW a licencie'!$A$3:$A$105,'TCO TO BE - HW'!H$2,'Rozpočet - HW a licencie'!$C$3:$C$105,"HW",'Rozpočet - HW a licencie'!$G$3:$G$105,'TCO TO BE - HW'!$D7,'Rozpočet - HW a licencie'!$D$3:$D$105,'TCO TO BE - HW'!$B$15)+SUMIFS('Rozpočet - HW a licencie'!$I$3:$I$105,'Rozpočet - HW a licencie'!$A$3:$A$105,'TCO TO BE - HW'!H$2,'Rozpočet - HW a licencie'!$C$3:$C$105,"SW pre HW",'Rozpočet - HW a licencie'!$G$3:$G$105,'TCO TO BE - HW'!$D7,'Rozpočet - HW a licencie'!$D$3:$D$105,'TCO TO BE - HW'!$B$15),)</f>
        <v>0</v>
      </c>
      <c r="I17" s="577">
        <f>IFERROR(SUMIFS('Rozpočet - HW a licencie'!$I$3:$I$105,'Rozpočet - HW a licencie'!$A$3:$A$105,'TCO TO BE - HW'!I$2,'Rozpočet - HW a licencie'!$C$3:$C$105,"HW",'Rozpočet - HW a licencie'!$G$3:$G$105,'TCO TO BE - HW'!$D7,'Rozpočet - HW a licencie'!$D$3:$D$105,'TCO TO BE - HW'!$B$15)+SUMIFS('Rozpočet - HW a licencie'!$I$3:$I$105,'Rozpočet - HW a licencie'!$A$3:$A$105,'TCO TO BE - HW'!I$2,'Rozpočet - HW a licencie'!$C$3:$C$105,"SW pre HW",'Rozpočet - HW a licencie'!$G$3:$G$105,'TCO TO BE - HW'!$D7,'Rozpočet - HW a licencie'!$D$3:$D$105,'TCO TO BE - HW'!$B$15),)</f>
        <v>0</v>
      </c>
      <c r="J17" s="577">
        <f>IFERROR(SUMIFS('Rozpočet - HW a licencie'!$I$3:$I$105,'Rozpočet - HW a licencie'!$A$3:$A$105,'TCO TO BE - HW'!J$2,'Rozpočet - HW a licencie'!$C$3:$C$105,"HW",'Rozpočet - HW a licencie'!$G$3:$G$105,'TCO TO BE - HW'!$D7,'Rozpočet - HW a licencie'!$D$3:$D$105,'TCO TO BE - HW'!$B$15)+SUMIFS('Rozpočet - HW a licencie'!$I$3:$I$105,'Rozpočet - HW a licencie'!$A$3:$A$105,'TCO TO BE - HW'!J$2,'Rozpočet - HW a licencie'!$C$3:$C$105,"SW pre HW",'Rozpočet - HW a licencie'!$G$3:$G$105,'TCO TO BE - HW'!$D7,'Rozpočet - HW a licencie'!$D$3:$D$105,'TCO TO BE - HW'!$B$15),)</f>
        <v>0</v>
      </c>
      <c r="K17" s="577">
        <f>IFERROR(SUMIFS('Rozpočet - HW a licencie'!$I$3:$I$105,'Rozpočet - HW a licencie'!$A$3:$A$105,'TCO TO BE - HW'!K$2,'Rozpočet - HW a licencie'!$C$3:$C$105,"HW",'Rozpočet - HW a licencie'!$G$3:$G$105,'TCO TO BE - HW'!$D7,'Rozpočet - HW a licencie'!$D$3:$D$105,'TCO TO BE - HW'!$B$15)+SUMIFS('Rozpočet - HW a licencie'!$I$3:$I$105,'Rozpočet - HW a licencie'!$A$3:$A$105,'TCO TO BE - HW'!K$2,'Rozpočet - HW a licencie'!$C$3:$C$105,"SW pre HW",'Rozpočet - HW a licencie'!$G$3:$G$105,'TCO TO BE - HW'!$D7,'Rozpočet - HW a licencie'!$D$3:$D$105,'TCO TO BE - HW'!$B$15),)</f>
        <v>0</v>
      </c>
      <c r="L17" s="577">
        <f>IFERROR(SUMIFS('Rozpočet - HW a licencie'!$I$3:$I$105,'Rozpočet - HW a licencie'!$A$3:$A$105,'TCO TO BE - HW'!L$2,'Rozpočet - HW a licencie'!$C$3:$C$105,"HW",'Rozpočet - HW a licencie'!$G$3:$G$105,'TCO TO BE - HW'!$D7,'Rozpočet - HW a licencie'!$D$3:$D$105,'TCO TO BE - HW'!$B$15)+SUMIFS('Rozpočet - HW a licencie'!$I$3:$I$105,'Rozpočet - HW a licencie'!$A$3:$A$105,'TCO TO BE - HW'!L$2,'Rozpočet - HW a licencie'!$C$3:$C$105,"SW pre HW",'Rozpočet - HW a licencie'!$G$3:$G$105,'TCO TO BE - HW'!$D7,'Rozpočet - HW a licencie'!$D$3:$D$105,'TCO TO BE - HW'!$B$15),)</f>
        <v>0</v>
      </c>
      <c r="M17" s="577">
        <f>IFERROR(SUMIFS('Rozpočet - HW a licencie'!$I$3:$I$105,'Rozpočet - HW a licencie'!$A$3:$A$105,'TCO TO BE - HW'!M$2,'Rozpočet - HW a licencie'!$C$3:$C$105,"HW",'Rozpočet - HW a licencie'!$G$3:$G$105,'TCO TO BE - HW'!$D7,'Rozpočet - HW a licencie'!$D$3:$D$105,'TCO TO BE - HW'!$B$15)+SUMIFS('Rozpočet - HW a licencie'!$I$3:$I$105,'Rozpočet - HW a licencie'!$A$3:$A$105,'TCO TO BE - HW'!M$2,'Rozpočet - HW a licencie'!$C$3:$C$105,"SW pre HW",'Rozpočet - HW a licencie'!$G$3:$G$105,'TCO TO BE - HW'!$D7,'Rozpočet - HW a licencie'!$D$3:$D$105,'TCO TO BE - HW'!$B$15),)</f>
        <v>0</v>
      </c>
      <c r="N17" s="577">
        <f>IFERROR(SUMIFS('Rozpočet - HW a licencie'!$I$3:$I$105,'Rozpočet - HW a licencie'!$A$3:$A$105,'TCO TO BE - HW'!N$2,'Rozpočet - HW a licencie'!$C$3:$C$105,"HW",'Rozpočet - HW a licencie'!$G$3:$G$105,'TCO TO BE - HW'!$D7,'Rozpočet - HW a licencie'!$D$3:$D$105,'TCO TO BE - HW'!$B$15)+SUMIFS('Rozpočet - HW a licencie'!$I$3:$I$105,'Rozpočet - HW a licencie'!$A$3:$A$105,'TCO TO BE - HW'!N$2,'Rozpočet - HW a licencie'!$C$3:$C$105,"SW pre HW",'Rozpočet - HW a licencie'!$G$3:$G$105,'TCO TO BE - HW'!$D7,'Rozpočet - HW a licencie'!$D$3:$D$105,'TCO TO BE - HW'!$B$15),)</f>
        <v>0</v>
      </c>
      <c r="O17" s="577">
        <f>IFERROR(SUMIFS('Rozpočet - HW a licencie'!$I$3:$I$105,'Rozpočet - HW a licencie'!$A$3:$A$105,'TCO TO BE - HW'!O$2,'Rozpočet - HW a licencie'!$C$3:$C$105,"HW",'Rozpočet - HW a licencie'!$G$3:$G$105,'TCO TO BE - HW'!$D7,'Rozpočet - HW a licencie'!$D$3:$D$105,'TCO TO BE - HW'!$B$15)+SUMIFS('Rozpočet - HW a licencie'!$I$3:$I$105,'Rozpočet - HW a licencie'!$A$3:$A$105,'TCO TO BE - HW'!O$2,'Rozpočet - HW a licencie'!$C$3:$C$105,"SW pre HW",'Rozpočet - HW a licencie'!$G$3:$G$105,'TCO TO BE - HW'!$D7,'Rozpočet - HW a licencie'!$D$3:$D$105,'TCO TO BE - HW'!$B$15),)</f>
        <v>0</v>
      </c>
      <c r="P17" s="577">
        <f>IFERROR(SUMIFS('Rozpočet - HW a licencie'!$I$3:$I$105,'Rozpočet - HW a licencie'!$A$3:$A$105,'TCO TO BE - HW'!P$2,'Rozpočet - HW a licencie'!$C$3:$C$105,"HW",'Rozpočet - HW a licencie'!$G$3:$G$105,'TCO TO BE - HW'!$D7,'Rozpočet - HW a licencie'!$D$3:$D$105,'TCO TO BE - HW'!$B$15)+SUMIFS('Rozpočet - HW a licencie'!$I$3:$I$105,'Rozpočet - HW a licencie'!$A$3:$A$105,'TCO TO BE - HW'!P$2,'Rozpočet - HW a licencie'!$C$3:$C$105,"SW pre HW",'Rozpočet - HW a licencie'!$G$3:$G$105,'TCO TO BE - HW'!$D7,'Rozpočet - HW a licencie'!$D$3:$D$105,'TCO TO BE - HW'!$B$15),)</f>
        <v>0</v>
      </c>
      <c r="Q17" s="577">
        <f>IFERROR(SUMIFS('Rozpočet - HW a licencie'!$I$3:$I$105,'Rozpočet - HW a licencie'!$A$3:$A$105,'TCO TO BE - HW'!Q$2,'Rozpočet - HW a licencie'!$C$3:$C$105,"HW",'Rozpočet - HW a licencie'!$G$3:$G$105,'TCO TO BE - HW'!$D7,'Rozpočet - HW a licencie'!$D$3:$D$105,'TCO TO BE - HW'!$B$15)+SUMIFS('Rozpočet - HW a licencie'!$I$3:$I$105,'Rozpočet - HW a licencie'!$A$3:$A$105,'TCO TO BE - HW'!Q$2,'Rozpočet - HW a licencie'!$C$3:$C$105,"SW pre HW",'Rozpočet - HW a licencie'!$G$3:$G$105,'TCO TO BE - HW'!$D7,'Rozpočet - HW a licencie'!$D$3:$D$105,'TCO TO BE - HW'!$B$15),)</f>
        <v>0</v>
      </c>
      <c r="R17" s="577">
        <f>IFERROR(SUMIFS('Rozpočet - HW a licencie'!$I$3:$I$105,'Rozpočet - HW a licencie'!$A$3:$A$105,'TCO TO BE - HW'!R$2,'Rozpočet - HW a licencie'!$C$3:$C$105,"HW",'Rozpočet - HW a licencie'!$G$3:$G$105,'TCO TO BE - HW'!$D7,'Rozpočet - HW a licencie'!$D$3:$D$105,'TCO TO BE - HW'!$B$15)+SUMIFS('Rozpočet - HW a licencie'!$I$3:$I$105,'Rozpočet - HW a licencie'!$A$3:$A$105,'TCO TO BE - HW'!R$2,'Rozpočet - HW a licencie'!$C$3:$C$105,"SW pre HW",'Rozpočet - HW a licencie'!$G$3:$G$105,'TCO TO BE - HW'!$D7,'Rozpočet - HW a licencie'!$D$3:$D$105,'TCO TO BE - HW'!$B$15),)</f>
        <v>0</v>
      </c>
      <c r="S17" s="577">
        <f>IFERROR(SUMIFS('Rozpočet - HW a licencie'!$I$3:$I$105,'Rozpočet - HW a licencie'!$A$3:$A$105,'TCO TO BE - HW'!S$2,'Rozpočet - HW a licencie'!$C$3:$C$105,"HW",'Rozpočet - HW a licencie'!$G$3:$G$105,'TCO TO BE - HW'!$D7,'Rozpočet - HW a licencie'!$D$3:$D$105,'TCO TO BE - HW'!$B$15)+SUMIFS('Rozpočet - HW a licencie'!$I$3:$I$105,'Rozpočet - HW a licencie'!$A$3:$A$105,'TCO TO BE - HW'!S$2,'Rozpočet - HW a licencie'!$C$3:$C$105,"SW pre HW",'Rozpočet - HW a licencie'!$G$3:$G$105,'TCO TO BE - HW'!$D7,'Rozpočet - HW a licencie'!$D$3:$D$105,'TCO TO BE - HW'!$B$15),)</f>
        <v>0</v>
      </c>
      <c r="T17" s="577">
        <f>IFERROR(SUMIFS('Rozpočet - HW a licencie'!$I$3:$I$105,'Rozpočet - HW a licencie'!$A$3:$A$105,'TCO TO BE - HW'!T$2,'Rozpočet - HW a licencie'!$C$3:$C$105,"HW",'Rozpočet - HW a licencie'!$G$3:$G$105,'TCO TO BE - HW'!$D7,'Rozpočet - HW a licencie'!$D$3:$D$105,'TCO TO BE - HW'!$B$15)+SUMIFS('Rozpočet - HW a licencie'!$I$3:$I$105,'Rozpočet - HW a licencie'!$A$3:$A$105,'TCO TO BE - HW'!T$2,'Rozpočet - HW a licencie'!$C$3:$C$105,"SW pre HW",'Rozpočet - HW a licencie'!$G$3:$G$105,'TCO TO BE - HW'!$D7,'Rozpočet - HW a licencie'!$D$3:$D$105,'TCO TO BE - HW'!$B$15),)</f>
        <v>0</v>
      </c>
      <c r="U17" s="577">
        <f>IFERROR(SUMIFS('Rozpočet - HW a licencie'!$I$3:$I$105,'Rozpočet - HW a licencie'!$A$3:$A$105,'TCO TO BE - HW'!U$2,'Rozpočet - HW a licencie'!$C$3:$C$105,"HW",'Rozpočet - HW a licencie'!$G$3:$G$105,'TCO TO BE - HW'!$D7,'Rozpočet - HW a licencie'!$D$3:$D$105,'TCO TO BE - HW'!$B$15)+SUMIFS('Rozpočet - HW a licencie'!$I$3:$I$105,'Rozpočet - HW a licencie'!$A$3:$A$105,'TCO TO BE - HW'!U$2,'Rozpočet - HW a licencie'!$C$3:$C$105,"SW pre HW",'Rozpočet - HW a licencie'!$G$3:$G$105,'TCO TO BE - HW'!$D7,'Rozpočet - HW a licencie'!$D$3:$D$105,'TCO TO BE - HW'!$B$15),)</f>
        <v>0</v>
      </c>
      <c r="V17" s="577">
        <f>IFERROR(SUMIFS('Rozpočet - HW a licencie'!$I$3:$I$105,'Rozpočet - HW a licencie'!$A$3:$A$105,'TCO TO BE - HW'!V$2,'Rozpočet - HW a licencie'!$C$3:$C$105,"HW",'Rozpočet - HW a licencie'!$G$3:$G$105,'TCO TO BE - HW'!$D7,'Rozpočet - HW a licencie'!$D$3:$D$105,'TCO TO BE - HW'!$B$15)+SUMIFS('Rozpočet - HW a licencie'!$I$3:$I$105,'Rozpočet - HW a licencie'!$A$3:$A$105,'TCO TO BE - HW'!V$2,'Rozpočet - HW a licencie'!$C$3:$C$105,"SW pre HW",'Rozpočet - HW a licencie'!$G$3:$G$105,'TCO TO BE - HW'!$D7,'Rozpočet - HW a licencie'!$D$3:$D$105,'TCO TO BE - HW'!$B$15),)</f>
        <v>0</v>
      </c>
      <c r="W17" s="577">
        <f>IFERROR(SUMIFS('Rozpočet - HW a licencie'!$I$3:$I$105,'Rozpočet - HW a licencie'!$A$3:$A$105,'TCO TO BE - HW'!W$2,'Rozpočet - HW a licencie'!$C$3:$C$105,"HW",'Rozpočet - HW a licencie'!$G$3:$G$105,'TCO TO BE - HW'!$D7,'Rozpočet - HW a licencie'!$D$3:$D$105,'TCO TO BE - HW'!$B$15)+SUMIFS('Rozpočet - HW a licencie'!$I$3:$I$105,'Rozpočet - HW a licencie'!$A$3:$A$105,'TCO TO BE - HW'!W$2,'Rozpočet - HW a licencie'!$C$3:$C$105,"SW pre HW",'Rozpočet - HW a licencie'!$G$3:$G$105,'TCO TO BE - HW'!$D7,'Rozpočet - HW a licencie'!$D$3:$D$105,'TCO TO BE - HW'!$B$15),)</f>
        <v>0</v>
      </c>
      <c r="X17" s="577">
        <f>IFERROR(SUMIFS('Rozpočet - HW a licencie'!$I$3:$I$105,'Rozpočet - HW a licencie'!$A$3:$A$105,'TCO TO BE - HW'!X$2,'Rozpočet - HW a licencie'!$C$3:$C$105,"HW",'Rozpočet - HW a licencie'!$G$3:$G$105,'TCO TO BE - HW'!$D7,'Rozpočet - HW a licencie'!$D$3:$D$105,'TCO TO BE - HW'!$B$15)+SUMIFS('Rozpočet - HW a licencie'!$I$3:$I$105,'Rozpočet - HW a licencie'!$A$3:$A$105,'TCO TO BE - HW'!X$2,'Rozpočet - HW a licencie'!$C$3:$C$105,"SW pre HW",'Rozpočet - HW a licencie'!$G$3:$G$105,'TCO TO BE - HW'!$D7,'Rozpočet - HW a licencie'!$D$3:$D$105,'TCO TO BE - HW'!$B$15),)</f>
        <v>0</v>
      </c>
      <c r="Y17" s="577">
        <f>IFERROR(SUMIFS('Rozpočet - HW a licencie'!$I$3:$I$105,'Rozpočet - HW a licencie'!$A$3:$A$105,'TCO TO BE - HW'!Y$2,'Rozpočet - HW a licencie'!$C$3:$C$105,"HW",'Rozpočet - HW a licencie'!$G$3:$G$105,'TCO TO BE - HW'!$D7,'Rozpočet - HW a licencie'!$D$3:$D$105,'TCO TO BE - HW'!$B$15)+SUMIFS('Rozpočet - HW a licencie'!$I$3:$I$105,'Rozpočet - HW a licencie'!$A$3:$A$105,'TCO TO BE - HW'!Y$2,'Rozpočet - HW a licencie'!$C$3:$C$105,"SW pre HW",'Rozpočet - HW a licencie'!$G$3:$G$105,'TCO TO BE - HW'!$D7,'Rozpočet - HW a licencie'!$D$3:$D$105,'TCO TO BE - HW'!$B$15),)</f>
        <v>0</v>
      </c>
      <c r="Z17" s="577">
        <f>IFERROR(SUMIFS('Rozpočet - HW a licencie'!$I$3:$I$105,'Rozpočet - HW a licencie'!$A$3:$A$105,'TCO TO BE - HW'!Z$2,'Rozpočet - HW a licencie'!$C$3:$C$105,"HW",'Rozpočet - HW a licencie'!$G$3:$G$105,'TCO TO BE - HW'!$D7,'Rozpočet - HW a licencie'!$D$3:$D$105,'TCO TO BE - HW'!$B$15)+SUMIFS('Rozpočet - HW a licencie'!$I$3:$I$105,'Rozpočet - HW a licencie'!$A$3:$A$105,'TCO TO BE - HW'!Z$2,'Rozpočet - HW a licencie'!$C$3:$C$105,"SW pre HW",'Rozpočet - HW a licencie'!$G$3:$G$105,'TCO TO BE - HW'!$D7,'Rozpočet - HW a licencie'!$D$3:$D$105,'TCO TO BE - HW'!$B$15),)</f>
        <v>0</v>
      </c>
    </row>
    <row r="18" spans="1:26" outlineLevel="1">
      <c r="A18" s="824"/>
      <c r="B18" s="825"/>
      <c r="C18" s="825"/>
      <c r="D18" s="498">
        <v>4</v>
      </c>
      <c r="E18" s="68">
        <f t="shared" si="2"/>
        <v>0</v>
      </c>
      <c r="F18" s="577">
        <f>IFERROR(SUMIFS('Rozpočet - HW a licencie'!$I$3:$I$105,'Rozpočet - HW a licencie'!$A$3:$A$105,'TCO TO BE - HW'!F$2,'Rozpočet - HW a licencie'!$C$3:$C$105,"HW",'Rozpočet - HW a licencie'!$G$3:$G$105,'TCO TO BE - HW'!$D8,'Rozpočet - HW a licencie'!$D$3:$D$105,'TCO TO BE - HW'!$B$15)+SUMIFS('Rozpočet - HW a licencie'!$I$3:$I$105,'Rozpočet - HW a licencie'!$A$3:$A$105,'TCO TO BE - HW'!F$2,'Rozpočet - HW a licencie'!$C$3:$C$105,"SW pre HW",'Rozpočet - HW a licencie'!$G$3:$G$105,'TCO TO BE - HW'!$D8,'Rozpočet - HW a licencie'!$D$3:$D$105,'TCO TO BE - HW'!$B$15),)</f>
        <v>0</v>
      </c>
      <c r="G18" s="577">
        <f>IFERROR(SUMIFS('Rozpočet - HW a licencie'!$I$3:$I$105,'Rozpočet - HW a licencie'!$A$3:$A$105,'TCO TO BE - HW'!G$2,'Rozpočet - HW a licencie'!$C$3:$C$105,"HW",'Rozpočet - HW a licencie'!$G$3:$G$105,'TCO TO BE - HW'!$D8,'Rozpočet - HW a licencie'!$D$3:$D$105,'TCO TO BE - HW'!$B$15)+SUMIFS('Rozpočet - HW a licencie'!$I$3:$I$105,'Rozpočet - HW a licencie'!$A$3:$A$105,'TCO TO BE - HW'!G$2,'Rozpočet - HW a licencie'!$C$3:$C$105,"SW pre HW",'Rozpočet - HW a licencie'!$G$3:$G$105,'TCO TO BE - HW'!$D8,'Rozpočet - HW a licencie'!$D$3:$D$105,'TCO TO BE - HW'!$B$15),)</f>
        <v>0</v>
      </c>
      <c r="H18" s="577">
        <f>IFERROR(SUMIFS('Rozpočet - HW a licencie'!$I$3:$I$105,'Rozpočet - HW a licencie'!$A$3:$A$105,'TCO TO BE - HW'!H$2,'Rozpočet - HW a licencie'!$C$3:$C$105,"HW",'Rozpočet - HW a licencie'!$G$3:$G$105,'TCO TO BE - HW'!$D8,'Rozpočet - HW a licencie'!$D$3:$D$105,'TCO TO BE - HW'!$B$15)+SUMIFS('Rozpočet - HW a licencie'!$I$3:$I$105,'Rozpočet - HW a licencie'!$A$3:$A$105,'TCO TO BE - HW'!H$2,'Rozpočet - HW a licencie'!$C$3:$C$105,"SW pre HW",'Rozpočet - HW a licencie'!$G$3:$G$105,'TCO TO BE - HW'!$D8,'Rozpočet - HW a licencie'!$D$3:$D$105,'TCO TO BE - HW'!$B$15),)</f>
        <v>0</v>
      </c>
      <c r="I18" s="577">
        <f>IFERROR(SUMIFS('Rozpočet - HW a licencie'!$I$3:$I$105,'Rozpočet - HW a licencie'!$A$3:$A$105,'TCO TO BE - HW'!I$2,'Rozpočet - HW a licencie'!$C$3:$C$105,"HW",'Rozpočet - HW a licencie'!$G$3:$G$105,'TCO TO BE - HW'!$D8,'Rozpočet - HW a licencie'!$D$3:$D$105,'TCO TO BE - HW'!$B$15)+SUMIFS('Rozpočet - HW a licencie'!$I$3:$I$105,'Rozpočet - HW a licencie'!$A$3:$A$105,'TCO TO BE - HW'!I$2,'Rozpočet - HW a licencie'!$C$3:$C$105,"SW pre HW",'Rozpočet - HW a licencie'!$G$3:$G$105,'TCO TO BE - HW'!$D8,'Rozpočet - HW a licencie'!$D$3:$D$105,'TCO TO BE - HW'!$B$15),)</f>
        <v>0</v>
      </c>
      <c r="J18" s="577">
        <f>IFERROR(SUMIFS('Rozpočet - HW a licencie'!$I$3:$I$105,'Rozpočet - HW a licencie'!$A$3:$A$105,'TCO TO BE - HW'!J$2,'Rozpočet - HW a licencie'!$C$3:$C$105,"HW",'Rozpočet - HW a licencie'!$G$3:$G$105,'TCO TO BE - HW'!$D8,'Rozpočet - HW a licencie'!$D$3:$D$105,'TCO TO BE - HW'!$B$15)+SUMIFS('Rozpočet - HW a licencie'!$I$3:$I$105,'Rozpočet - HW a licencie'!$A$3:$A$105,'TCO TO BE - HW'!J$2,'Rozpočet - HW a licencie'!$C$3:$C$105,"SW pre HW",'Rozpočet - HW a licencie'!$G$3:$G$105,'TCO TO BE - HW'!$D8,'Rozpočet - HW a licencie'!$D$3:$D$105,'TCO TO BE - HW'!$B$15),)</f>
        <v>0</v>
      </c>
      <c r="K18" s="577">
        <f>IFERROR(SUMIFS('Rozpočet - HW a licencie'!$I$3:$I$105,'Rozpočet - HW a licencie'!$A$3:$A$105,'TCO TO BE - HW'!K$2,'Rozpočet - HW a licencie'!$C$3:$C$105,"HW",'Rozpočet - HW a licencie'!$G$3:$G$105,'TCO TO BE - HW'!$D8,'Rozpočet - HW a licencie'!$D$3:$D$105,'TCO TO BE - HW'!$B$15)+SUMIFS('Rozpočet - HW a licencie'!$I$3:$I$105,'Rozpočet - HW a licencie'!$A$3:$A$105,'TCO TO BE - HW'!K$2,'Rozpočet - HW a licencie'!$C$3:$C$105,"SW pre HW",'Rozpočet - HW a licencie'!$G$3:$G$105,'TCO TO BE - HW'!$D8,'Rozpočet - HW a licencie'!$D$3:$D$105,'TCO TO BE - HW'!$B$15),)</f>
        <v>0</v>
      </c>
      <c r="L18" s="577">
        <f>IFERROR(SUMIFS('Rozpočet - HW a licencie'!$I$3:$I$105,'Rozpočet - HW a licencie'!$A$3:$A$105,'TCO TO BE - HW'!L$2,'Rozpočet - HW a licencie'!$C$3:$C$105,"HW",'Rozpočet - HW a licencie'!$G$3:$G$105,'TCO TO BE - HW'!$D8,'Rozpočet - HW a licencie'!$D$3:$D$105,'TCO TO BE - HW'!$B$15)+SUMIFS('Rozpočet - HW a licencie'!$I$3:$I$105,'Rozpočet - HW a licencie'!$A$3:$A$105,'TCO TO BE - HW'!L$2,'Rozpočet - HW a licencie'!$C$3:$C$105,"SW pre HW",'Rozpočet - HW a licencie'!$G$3:$G$105,'TCO TO BE - HW'!$D8,'Rozpočet - HW a licencie'!$D$3:$D$105,'TCO TO BE - HW'!$B$15),)</f>
        <v>0</v>
      </c>
      <c r="M18" s="577">
        <f>IFERROR(SUMIFS('Rozpočet - HW a licencie'!$I$3:$I$105,'Rozpočet - HW a licencie'!$A$3:$A$105,'TCO TO BE - HW'!M$2,'Rozpočet - HW a licencie'!$C$3:$C$105,"HW",'Rozpočet - HW a licencie'!$G$3:$G$105,'TCO TO BE - HW'!$D8,'Rozpočet - HW a licencie'!$D$3:$D$105,'TCO TO BE - HW'!$B$15)+SUMIFS('Rozpočet - HW a licencie'!$I$3:$I$105,'Rozpočet - HW a licencie'!$A$3:$A$105,'TCO TO BE - HW'!M$2,'Rozpočet - HW a licencie'!$C$3:$C$105,"SW pre HW",'Rozpočet - HW a licencie'!$G$3:$G$105,'TCO TO BE - HW'!$D8,'Rozpočet - HW a licencie'!$D$3:$D$105,'TCO TO BE - HW'!$B$15),)</f>
        <v>0</v>
      </c>
      <c r="N18" s="577">
        <f>IFERROR(SUMIFS('Rozpočet - HW a licencie'!$I$3:$I$105,'Rozpočet - HW a licencie'!$A$3:$A$105,'TCO TO BE - HW'!N$2,'Rozpočet - HW a licencie'!$C$3:$C$105,"HW",'Rozpočet - HW a licencie'!$G$3:$G$105,'TCO TO BE - HW'!$D8,'Rozpočet - HW a licencie'!$D$3:$D$105,'TCO TO BE - HW'!$B$15)+SUMIFS('Rozpočet - HW a licencie'!$I$3:$I$105,'Rozpočet - HW a licencie'!$A$3:$A$105,'TCO TO BE - HW'!N$2,'Rozpočet - HW a licencie'!$C$3:$C$105,"SW pre HW",'Rozpočet - HW a licencie'!$G$3:$G$105,'TCO TO BE - HW'!$D8,'Rozpočet - HW a licencie'!$D$3:$D$105,'TCO TO BE - HW'!$B$15),)</f>
        <v>0</v>
      </c>
      <c r="O18" s="577">
        <f>IFERROR(SUMIFS('Rozpočet - HW a licencie'!$I$3:$I$105,'Rozpočet - HW a licencie'!$A$3:$A$105,'TCO TO BE - HW'!O$2,'Rozpočet - HW a licencie'!$C$3:$C$105,"HW",'Rozpočet - HW a licencie'!$G$3:$G$105,'TCO TO BE - HW'!$D8,'Rozpočet - HW a licencie'!$D$3:$D$105,'TCO TO BE - HW'!$B$15)+SUMIFS('Rozpočet - HW a licencie'!$I$3:$I$105,'Rozpočet - HW a licencie'!$A$3:$A$105,'TCO TO BE - HW'!O$2,'Rozpočet - HW a licencie'!$C$3:$C$105,"SW pre HW",'Rozpočet - HW a licencie'!$G$3:$G$105,'TCO TO BE - HW'!$D8,'Rozpočet - HW a licencie'!$D$3:$D$105,'TCO TO BE - HW'!$B$15),)</f>
        <v>0</v>
      </c>
      <c r="P18" s="577">
        <f>IFERROR(SUMIFS('Rozpočet - HW a licencie'!$I$3:$I$105,'Rozpočet - HW a licencie'!$A$3:$A$105,'TCO TO BE - HW'!P$2,'Rozpočet - HW a licencie'!$C$3:$C$105,"HW",'Rozpočet - HW a licencie'!$G$3:$G$105,'TCO TO BE - HW'!$D8,'Rozpočet - HW a licencie'!$D$3:$D$105,'TCO TO BE - HW'!$B$15)+SUMIFS('Rozpočet - HW a licencie'!$I$3:$I$105,'Rozpočet - HW a licencie'!$A$3:$A$105,'TCO TO BE - HW'!P$2,'Rozpočet - HW a licencie'!$C$3:$C$105,"SW pre HW",'Rozpočet - HW a licencie'!$G$3:$G$105,'TCO TO BE - HW'!$D8,'Rozpočet - HW a licencie'!$D$3:$D$105,'TCO TO BE - HW'!$B$15),)</f>
        <v>0</v>
      </c>
      <c r="Q18" s="577">
        <f>IFERROR(SUMIFS('Rozpočet - HW a licencie'!$I$3:$I$105,'Rozpočet - HW a licencie'!$A$3:$A$105,'TCO TO BE - HW'!Q$2,'Rozpočet - HW a licencie'!$C$3:$C$105,"HW",'Rozpočet - HW a licencie'!$G$3:$G$105,'TCO TO BE - HW'!$D8,'Rozpočet - HW a licencie'!$D$3:$D$105,'TCO TO BE - HW'!$B$15)+SUMIFS('Rozpočet - HW a licencie'!$I$3:$I$105,'Rozpočet - HW a licencie'!$A$3:$A$105,'TCO TO BE - HW'!Q$2,'Rozpočet - HW a licencie'!$C$3:$C$105,"SW pre HW",'Rozpočet - HW a licencie'!$G$3:$G$105,'TCO TO BE - HW'!$D8,'Rozpočet - HW a licencie'!$D$3:$D$105,'TCO TO BE - HW'!$B$15),)</f>
        <v>0</v>
      </c>
      <c r="R18" s="577">
        <f>IFERROR(SUMIFS('Rozpočet - HW a licencie'!$I$3:$I$105,'Rozpočet - HW a licencie'!$A$3:$A$105,'TCO TO BE - HW'!R$2,'Rozpočet - HW a licencie'!$C$3:$C$105,"HW",'Rozpočet - HW a licencie'!$G$3:$G$105,'TCO TO BE - HW'!$D8,'Rozpočet - HW a licencie'!$D$3:$D$105,'TCO TO BE - HW'!$B$15)+SUMIFS('Rozpočet - HW a licencie'!$I$3:$I$105,'Rozpočet - HW a licencie'!$A$3:$A$105,'TCO TO BE - HW'!R$2,'Rozpočet - HW a licencie'!$C$3:$C$105,"SW pre HW",'Rozpočet - HW a licencie'!$G$3:$G$105,'TCO TO BE - HW'!$D8,'Rozpočet - HW a licencie'!$D$3:$D$105,'TCO TO BE - HW'!$B$15),)</f>
        <v>0</v>
      </c>
      <c r="S18" s="577">
        <f>IFERROR(SUMIFS('Rozpočet - HW a licencie'!$I$3:$I$105,'Rozpočet - HW a licencie'!$A$3:$A$105,'TCO TO BE - HW'!S$2,'Rozpočet - HW a licencie'!$C$3:$C$105,"HW",'Rozpočet - HW a licencie'!$G$3:$G$105,'TCO TO BE - HW'!$D8,'Rozpočet - HW a licencie'!$D$3:$D$105,'TCO TO BE - HW'!$B$15)+SUMIFS('Rozpočet - HW a licencie'!$I$3:$I$105,'Rozpočet - HW a licencie'!$A$3:$A$105,'TCO TO BE - HW'!S$2,'Rozpočet - HW a licencie'!$C$3:$C$105,"SW pre HW",'Rozpočet - HW a licencie'!$G$3:$G$105,'TCO TO BE - HW'!$D8,'Rozpočet - HW a licencie'!$D$3:$D$105,'TCO TO BE - HW'!$B$15),)</f>
        <v>0</v>
      </c>
      <c r="T18" s="577">
        <f>IFERROR(SUMIFS('Rozpočet - HW a licencie'!$I$3:$I$105,'Rozpočet - HW a licencie'!$A$3:$A$105,'TCO TO BE - HW'!T$2,'Rozpočet - HW a licencie'!$C$3:$C$105,"HW",'Rozpočet - HW a licencie'!$G$3:$G$105,'TCO TO BE - HW'!$D8,'Rozpočet - HW a licencie'!$D$3:$D$105,'TCO TO BE - HW'!$B$15)+SUMIFS('Rozpočet - HW a licencie'!$I$3:$I$105,'Rozpočet - HW a licencie'!$A$3:$A$105,'TCO TO BE - HW'!T$2,'Rozpočet - HW a licencie'!$C$3:$C$105,"SW pre HW",'Rozpočet - HW a licencie'!$G$3:$G$105,'TCO TO BE - HW'!$D8,'Rozpočet - HW a licencie'!$D$3:$D$105,'TCO TO BE - HW'!$B$15),)</f>
        <v>0</v>
      </c>
      <c r="U18" s="577">
        <f>IFERROR(SUMIFS('Rozpočet - HW a licencie'!$I$3:$I$105,'Rozpočet - HW a licencie'!$A$3:$A$105,'TCO TO BE - HW'!U$2,'Rozpočet - HW a licencie'!$C$3:$C$105,"HW",'Rozpočet - HW a licencie'!$G$3:$G$105,'TCO TO BE - HW'!$D8,'Rozpočet - HW a licencie'!$D$3:$D$105,'TCO TO BE - HW'!$B$15)+SUMIFS('Rozpočet - HW a licencie'!$I$3:$I$105,'Rozpočet - HW a licencie'!$A$3:$A$105,'TCO TO BE - HW'!U$2,'Rozpočet - HW a licencie'!$C$3:$C$105,"SW pre HW",'Rozpočet - HW a licencie'!$G$3:$G$105,'TCO TO BE - HW'!$D8,'Rozpočet - HW a licencie'!$D$3:$D$105,'TCO TO BE - HW'!$B$15),)</f>
        <v>0</v>
      </c>
      <c r="V18" s="577">
        <f>IFERROR(SUMIFS('Rozpočet - HW a licencie'!$I$3:$I$105,'Rozpočet - HW a licencie'!$A$3:$A$105,'TCO TO BE - HW'!V$2,'Rozpočet - HW a licencie'!$C$3:$C$105,"HW",'Rozpočet - HW a licencie'!$G$3:$G$105,'TCO TO BE - HW'!$D8,'Rozpočet - HW a licencie'!$D$3:$D$105,'TCO TO BE - HW'!$B$15)+SUMIFS('Rozpočet - HW a licencie'!$I$3:$I$105,'Rozpočet - HW a licencie'!$A$3:$A$105,'TCO TO BE - HW'!V$2,'Rozpočet - HW a licencie'!$C$3:$C$105,"SW pre HW",'Rozpočet - HW a licencie'!$G$3:$G$105,'TCO TO BE - HW'!$D8,'Rozpočet - HW a licencie'!$D$3:$D$105,'TCO TO BE - HW'!$B$15),)</f>
        <v>0</v>
      </c>
      <c r="W18" s="577">
        <f>IFERROR(SUMIFS('Rozpočet - HW a licencie'!$I$3:$I$105,'Rozpočet - HW a licencie'!$A$3:$A$105,'TCO TO BE - HW'!W$2,'Rozpočet - HW a licencie'!$C$3:$C$105,"HW",'Rozpočet - HW a licencie'!$G$3:$G$105,'TCO TO BE - HW'!$D8,'Rozpočet - HW a licencie'!$D$3:$D$105,'TCO TO BE - HW'!$B$15)+SUMIFS('Rozpočet - HW a licencie'!$I$3:$I$105,'Rozpočet - HW a licencie'!$A$3:$A$105,'TCO TO BE - HW'!W$2,'Rozpočet - HW a licencie'!$C$3:$C$105,"SW pre HW",'Rozpočet - HW a licencie'!$G$3:$G$105,'TCO TO BE - HW'!$D8,'Rozpočet - HW a licencie'!$D$3:$D$105,'TCO TO BE - HW'!$B$15),)</f>
        <v>0</v>
      </c>
      <c r="X18" s="577">
        <f>IFERROR(SUMIFS('Rozpočet - HW a licencie'!$I$3:$I$105,'Rozpočet - HW a licencie'!$A$3:$A$105,'TCO TO BE - HW'!X$2,'Rozpočet - HW a licencie'!$C$3:$C$105,"HW",'Rozpočet - HW a licencie'!$G$3:$G$105,'TCO TO BE - HW'!$D8,'Rozpočet - HW a licencie'!$D$3:$D$105,'TCO TO BE - HW'!$B$15)+SUMIFS('Rozpočet - HW a licencie'!$I$3:$I$105,'Rozpočet - HW a licencie'!$A$3:$A$105,'TCO TO BE - HW'!X$2,'Rozpočet - HW a licencie'!$C$3:$C$105,"SW pre HW",'Rozpočet - HW a licencie'!$G$3:$G$105,'TCO TO BE - HW'!$D8,'Rozpočet - HW a licencie'!$D$3:$D$105,'TCO TO BE - HW'!$B$15),)</f>
        <v>0</v>
      </c>
      <c r="Y18" s="577">
        <f>IFERROR(SUMIFS('Rozpočet - HW a licencie'!$I$3:$I$105,'Rozpočet - HW a licencie'!$A$3:$A$105,'TCO TO BE - HW'!Y$2,'Rozpočet - HW a licencie'!$C$3:$C$105,"HW",'Rozpočet - HW a licencie'!$G$3:$G$105,'TCO TO BE - HW'!$D8,'Rozpočet - HW a licencie'!$D$3:$D$105,'TCO TO BE - HW'!$B$15)+SUMIFS('Rozpočet - HW a licencie'!$I$3:$I$105,'Rozpočet - HW a licencie'!$A$3:$A$105,'TCO TO BE - HW'!Y$2,'Rozpočet - HW a licencie'!$C$3:$C$105,"SW pre HW",'Rozpočet - HW a licencie'!$G$3:$G$105,'TCO TO BE - HW'!$D8,'Rozpočet - HW a licencie'!$D$3:$D$105,'TCO TO BE - HW'!$B$15),)</f>
        <v>0</v>
      </c>
      <c r="Z18" s="577">
        <f>IFERROR(SUMIFS('Rozpočet - HW a licencie'!$I$3:$I$105,'Rozpočet - HW a licencie'!$A$3:$A$105,'TCO TO BE - HW'!Z$2,'Rozpočet - HW a licencie'!$C$3:$C$105,"HW",'Rozpočet - HW a licencie'!$G$3:$G$105,'TCO TO BE - HW'!$D8,'Rozpočet - HW a licencie'!$D$3:$D$105,'TCO TO BE - HW'!$B$15)+SUMIFS('Rozpočet - HW a licencie'!$I$3:$I$105,'Rozpočet - HW a licencie'!$A$3:$A$105,'TCO TO BE - HW'!Z$2,'Rozpočet - HW a licencie'!$C$3:$C$105,"SW pre HW",'Rozpočet - HW a licencie'!$G$3:$G$105,'TCO TO BE - HW'!$D8,'Rozpočet - HW a licencie'!$D$3:$D$105,'TCO TO BE - HW'!$B$15),)</f>
        <v>0</v>
      </c>
    </row>
    <row r="19" spans="1:26" outlineLevel="1">
      <c r="A19" s="824"/>
      <c r="B19" s="825"/>
      <c r="C19" s="825"/>
      <c r="D19" s="498">
        <v>5</v>
      </c>
      <c r="E19" s="68">
        <f t="shared" si="2"/>
        <v>0</v>
      </c>
      <c r="F19" s="577">
        <f>IFERROR(SUMIFS('Rozpočet - HW a licencie'!$I$3:$I$105,'Rozpočet - HW a licencie'!$A$3:$A$105,'TCO TO BE - HW'!F$2,'Rozpočet - HW a licencie'!$C$3:$C$105,"HW",'Rozpočet - HW a licencie'!$G$3:$G$105,'TCO TO BE - HW'!$D9,'Rozpočet - HW a licencie'!$D$3:$D$105,'TCO TO BE - HW'!$B$15)+SUMIFS('Rozpočet - HW a licencie'!$I$3:$I$105,'Rozpočet - HW a licencie'!$A$3:$A$105,'TCO TO BE - HW'!F$2,'Rozpočet - HW a licencie'!$C$3:$C$105,"SW pre HW",'Rozpočet - HW a licencie'!$G$3:$G$105,'TCO TO BE - HW'!$D9,'Rozpočet - HW a licencie'!$D$3:$D$105,'TCO TO BE - HW'!$B$15),)</f>
        <v>0</v>
      </c>
      <c r="G19" s="577">
        <f>IFERROR(SUMIFS('Rozpočet - HW a licencie'!$I$3:$I$105,'Rozpočet - HW a licencie'!$A$3:$A$105,'TCO TO BE - HW'!G$2,'Rozpočet - HW a licencie'!$C$3:$C$105,"HW",'Rozpočet - HW a licencie'!$G$3:$G$105,'TCO TO BE - HW'!$D9,'Rozpočet - HW a licencie'!$D$3:$D$105,'TCO TO BE - HW'!$B$15)+SUMIFS('Rozpočet - HW a licencie'!$I$3:$I$105,'Rozpočet - HW a licencie'!$A$3:$A$105,'TCO TO BE - HW'!G$2,'Rozpočet - HW a licencie'!$C$3:$C$105,"SW pre HW",'Rozpočet - HW a licencie'!$G$3:$G$105,'TCO TO BE - HW'!$D9,'Rozpočet - HW a licencie'!$D$3:$D$105,'TCO TO BE - HW'!$B$15),)</f>
        <v>0</v>
      </c>
      <c r="H19" s="577">
        <f>IFERROR(SUMIFS('Rozpočet - HW a licencie'!$I$3:$I$105,'Rozpočet - HW a licencie'!$A$3:$A$105,'TCO TO BE - HW'!H$2,'Rozpočet - HW a licencie'!$C$3:$C$105,"HW",'Rozpočet - HW a licencie'!$G$3:$G$105,'TCO TO BE - HW'!$D9,'Rozpočet - HW a licencie'!$D$3:$D$105,'TCO TO BE - HW'!$B$15)+SUMIFS('Rozpočet - HW a licencie'!$I$3:$I$105,'Rozpočet - HW a licencie'!$A$3:$A$105,'TCO TO BE - HW'!H$2,'Rozpočet - HW a licencie'!$C$3:$C$105,"SW pre HW",'Rozpočet - HW a licencie'!$G$3:$G$105,'TCO TO BE - HW'!$D9,'Rozpočet - HW a licencie'!$D$3:$D$105,'TCO TO BE - HW'!$B$15),)</f>
        <v>0</v>
      </c>
      <c r="I19" s="577">
        <f>IFERROR(SUMIFS('Rozpočet - HW a licencie'!$I$3:$I$105,'Rozpočet - HW a licencie'!$A$3:$A$105,'TCO TO BE - HW'!I$2,'Rozpočet - HW a licencie'!$C$3:$C$105,"HW",'Rozpočet - HW a licencie'!$G$3:$G$105,'TCO TO BE - HW'!$D9,'Rozpočet - HW a licencie'!$D$3:$D$105,'TCO TO BE - HW'!$B$15)+SUMIFS('Rozpočet - HW a licencie'!$I$3:$I$105,'Rozpočet - HW a licencie'!$A$3:$A$105,'TCO TO BE - HW'!I$2,'Rozpočet - HW a licencie'!$C$3:$C$105,"SW pre HW",'Rozpočet - HW a licencie'!$G$3:$G$105,'TCO TO BE - HW'!$D9,'Rozpočet - HW a licencie'!$D$3:$D$105,'TCO TO BE - HW'!$B$15),)</f>
        <v>0</v>
      </c>
      <c r="J19" s="577">
        <f>IFERROR(SUMIFS('Rozpočet - HW a licencie'!$I$3:$I$105,'Rozpočet - HW a licencie'!$A$3:$A$105,'TCO TO BE - HW'!J$2,'Rozpočet - HW a licencie'!$C$3:$C$105,"HW",'Rozpočet - HW a licencie'!$G$3:$G$105,'TCO TO BE - HW'!$D9,'Rozpočet - HW a licencie'!$D$3:$D$105,'TCO TO BE - HW'!$B$15)+SUMIFS('Rozpočet - HW a licencie'!$I$3:$I$105,'Rozpočet - HW a licencie'!$A$3:$A$105,'TCO TO BE - HW'!J$2,'Rozpočet - HW a licencie'!$C$3:$C$105,"SW pre HW",'Rozpočet - HW a licencie'!$G$3:$G$105,'TCO TO BE - HW'!$D9,'Rozpočet - HW a licencie'!$D$3:$D$105,'TCO TO BE - HW'!$B$15),)</f>
        <v>0</v>
      </c>
      <c r="K19" s="577">
        <f>IFERROR(SUMIFS('Rozpočet - HW a licencie'!$I$3:$I$105,'Rozpočet - HW a licencie'!$A$3:$A$105,'TCO TO BE - HW'!K$2,'Rozpočet - HW a licencie'!$C$3:$C$105,"HW",'Rozpočet - HW a licencie'!$G$3:$G$105,'TCO TO BE - HW'!$D9,'Rozpočet - HW a licencie'!$D$3:$D$105,'TCO TO BE - HW'!$B$15)+SUMIFS('Rozpočet - HW a licencie'!$I$3:$I$105,'Rozpočet - HW a licencie'!$A$3:$A$105,'TCO TO BE - HW'!K$2,'Rozpočet - HW a licencie'!$C$3:$C$105,"SW pre HW",'Rozpočet - HW a licencie'!$G$3:$G$105,'TCO TO BE - HW'!$D9,'Rozpočet - HW a licencie'!$D$3:$D$105,'TCO TO BE - HW'!$B$15),)</f>
        <v>0</v>
      </c>
      <c r="L19" s="577">
        <f>IFERROR(SUMIFS('Rozpočet - HW a licencie'!$I$3:$I$105,'Rozpočet - HW a licencie'!$A$3:$A$105,'TCO TO BE - HW'!L$2,'Rozpočet - HW a licencie'!$C$3:$C$105,"HW",'Rozpočet - HW a licencie'!$G$3:$G$105,'TCO TO BE - HW'!$D9,'Rozpočet - HW a licencie'!$D$3:$D$105,'TCO TO BE - HW'!$B$15)+SUMIFS('Rozpočet - HW a licencie'!$I$3:$I$105,'Rozpočet - HW a licencie'!$A$3:$A$105,'TCO TO BE - HW'!L$2,'Rozpočet - HW a licencie'!$C$3:$C$105,"SW pre HW",'Rozpočet - HW a licencie'!$G$3:$G$105,'TCO TO BE - HW'!$D9,'Rozpočet - HW a licencie'!$D$3:$D$105,'TCO TO BE - HW'!$B$15),)</f>
        <v>0</v>
      </c>
      <c r="M19" s="577">
        <f>IFERROR(SUMIFS('Rozpočet - HW a licencie'!$I$3:$I$105,'Rozpočet - HW a licencie'!$A$3:$A$105,'TCO TO BE - HW'!M$2,'Rozpočet - HW a licencie'!$C$3:$C$105,"HW",'Rozpočet - HW a licencie'!$G$3:$G$105,'TCO TO BE - HW'!$D9,'Rozpočet - HW a licencie'!$D$3:$D$105,'TCO TO BE - HW'!$B$15)+SUMIFS('Rozpočet - HW a licencie'!$I$3:$I$105,'Rozpočet - HW a licencie'!$A$3:$A$105,'TCO TO BE - HW'!M$2,'Rozpočet - HW a licencie'!$C$3:$C$105,"SW pre HW",'Rozpočet - HW a licencie'!$G$3:$G$105,'TCO TO BE - HW'!$D9,'Rozpočet - HW a licencie'!$D$3:$D$105,'TCO TO BE - HW'!$B$15),)</f>
        <v>0</v>
      </c>
      <c r="N19" s="577">
        <f>IFERROR(SUMIFS('Rozpočet - HW a licencie'!$I$3:$I$105,'Rozpočet - HW a licencie'!$A$3:$A$105,'TCO TO BE - HW'!N$2,'Rozpočet - HW a licencie'!$C$3:$C$105,"HW",'Rozpočet - HW a licencie'!$G$3:$G$105,'TCO TO BE - HW'!$D9,'Rozpočet - HW a licencie'!$D$3:$D$105,'TCO TO BE - HW'!$B$15)+SUMIFS('Rozpočet - HW a licencie'!$I$3:$I$105,'Rozpočet - HW a licencie'!$A$3:$A$105,'TCO TO BE - HW'!N$2,'Rozpočet - HW a licencie'!$C$3:$C$105,"SW pre HW",'Rozpočet - HW a licencie'!$G$3:$G$105,'TCO TO BE - HW'!$D9,'Rozpočet - HW a licencie'!$D$3:$D$105,'TCO TO BE - HW'!$B$15),)</f>
        <v>0</v>
      </c>
      <c r="O19" s="577">
        <f>IFERROR(SUMIFS('Rozpočet - HW a licencie'!$I$3:$I$105,'Rozpočet - HW a licencie'!$A$3:$A$105,'TCO TO BE - HW'!O$2,'Rozpočet - HW a licencie'!$C$3:$C$105,"HW",'Rozpočet - HW a licencie'!$G$3:$G$105,'TCO TO BE - HW'!$D9,'Rozpočet - HW a licencie'!$D$3:$D$105,'TCO TO BE - HW'!$B$15)+SUMIFS('Rozpočet - HW a licencie'!$I$3:$I$105,'Rozpočet - HW a licencie'!$A$3:$A$105,'TCO TO BE - HW'!O$2,'Rozpočet - HW a licencie'!$C$3:$C$105,"SW pre HW",'Rozpočet - HW a licencie'!$G$3:$G$105,'TCO TO BE - HW'!$D9,'Rozpočet - HW a licencie'!$D$3:$D$105,'TCO TO BE - HW'!$B$15),)</f>
        <v>0</v>
      </c>
      <c r="P19" s="577">
        <f>IFERROR(SUMIFS('Rozpočet - HW a licencie'!$I$3:$I$105,'Rozpočet - HW a licencie'!$A$3:$A$105,'TCO TO BE - HW'!P$2,'Rozpočet - HW a licencie'!$C$3:$C$105,"HW",'Rozpočet - HW a licencie'!$G$3:$G$105,'TCO TO BE - HW'!$D9,'Rozpočet - HW a licencie'!$D$3:$D$105,'TCO TO BE - HW'!$B$15)+SUMIFS('Rozpočet - HW a licencie'!$I$3:$I$105,'Rozpočet - HW a licencie'!$A$3:$A$105,'TCO TO BE - HW'!P$2,'Rozpočet - HW a licencie'!$C$3:$C$105,"SW pre HW",'Rozpočet - HW a licencie'!$G$3:$G$105,'TCO TO BE - HW'!$D9,'Rozpočet - HW a licencie'!$D$3:$D$105,'TCO TO BE - HW'!$B$15),)</f>
        <v>0</v>
      </c>
      <c r="Q19" s="577">
        <f>IFERROR(SUMIFS('Rozpočet - HW a licencie'!$I$3:$I$105,'Rozpočet - HW a licencie'!$A$3:$A$105,'TCO TO BE - HW'!Q$2,'Rozpočet - HW a licencie'!$C$3:$C$105,"HW",'Rozpočet - HW a licencie'!$G$3:$G$105,'TCO TO BE - HW'!$D9,'Rozpočet - HW a licencie'!$D$3:$D$105,'TCO TO BE - HW'!$B$15)+SUMIFS('Rozpočet - HW a licencie'!$I$3:$I$105,'Rozpočet - HW a licencie'!$A$3:$A$105,'TCO TO BE - HW'!Q$2,'Rozpočet - HW a licencie'!$C$3:$C$105,"SW pre HW",'Rozpočet - HW a licencie'!$G$3:$G$105,'TCO TO BE - HW'!$D9,'Rozpočet - HW a licencie'!$D$3:$D$105,'TCO TO BE - HW'!$B$15),)</f>
        <v>0</v>
      </c>
      <c r="R19" s="577">
        <f>IFERROR(SUMIFS('Rozpočet - HW a licencie'!$I$3:$I$105,'Rozpočet - HW a licencie'!$A$3:$A$105,'TCO TO BE - HW'!R$2,'Rozpočet - HW a licencie'!$C$3:$C$105,"HW",'Rozpočet - HW a licencie'!$G$3:$G$105,'TCO TO BE - HW'!$D9,'Rozpočet - HW a licencie'!$D$3:$D$105,'TCO TO BE - HW'!$B$15)+SUMIFS('Rozpočet - HW a licencie'!$I$3:$I$105,'Rozpočet - HW a licencie'!$A$3:$A$105,'TCO TO BE - HW'!R$2,'Rozpočet - HW a licencie'!$C$3:$C$105,"SW pre HW",'Rozpočet - HW a licencie'!$G$3:$G$105,'TCO TO BE - HW'!$D9,'Rozpočet - HW a licencie'!$D$3:$D$105,'TCO TO BE - HW'!$B$15),)</f>
        <v>0</v>
      </c>
      <c r="S19" s="577">
        <f>IFERROR(SUMIFS('Rozpočet - HW a licencie'!$I$3:$I$105,'Rozpočet - HW a licencie'!$A$3:$A$105,'TCO TO BE - HW'!S$2,'Rozpočet - HW a licencie'!$C$3:$C$105,"HW",'Rozpočet - HW a licencie'!$G$3:$G$105,'TCO TO BE - HW'!$D9,'Rozpočet - HW a licencie'!$D$3:$D$105,'TCO TO BE - HW'!$B$15)+SUMIFS('Rozpočet - HW a licencie'!$I$3:$I$105,'Rozpočet - HW a licencie'!$A$3:$A$105,'TCO TO BE - HW'!S$2,'Rozpočet - HW a licencie'!$C$3:$C$105,"SW pre HW",'Rozpočet - HW a licencie'!$G$3:$G$105,'TCO TO BE - HW'!$D9,'Rozpočet - HW a licencie'!$D$3:$D$105,'TCO TO BE - HW'!$B$15),)</f>
        <v>0</v>
      </c>
      <c r="T19" s="577">
        <f>IFERROR(SUMIFS('Rozpočet - HW a licencie'!$I$3:$I$105,'Rozpočet - HW a licencie'!$A$3:$A$105,'TCO TO BE - HW'!T$2,'Rozpočet - HW a licencie'!$C$3:$C$105,"HW",'Rozpočet - HW a licencie'!$G$3:$G$105,'TCO TO BE - HW'!$D9,'Rozpočet - HW a licencie'!$D$3:$D$105,'TCO TO BE - HW'!$B$15)+SUMIFS('Rozpočet - HW a licencie'!$I$3:$I$105,'Rozpočet - HW a licencie'!$A$3:$A$105,'TCO TO BE - HW'!T$2,'Rozpočet - HW a licencie'!$C$3:$C$105,"SW pre HW",'Rozpočet - HW a licencie'!$G$3:$G$105,'TCO TO BE - HW'!$D9,'Rozpočet - HW a licencie'!$D$3:$D$105,'TCO TO BE - HW'!$B$15),)</f>
        <v>0</v>
      </c>
      <c r="U19" s="577">
        <f>IFERROR(SUMIFS('Rozpočet - HW a licencie'!$I$3:$I$105,'Rozpočet - HW a licencie'!$A$3:$A$105,'TCO TO BE - HW'!U$2,'Rozpočet - HW a licencie'!$C$3:$C$105,"HW",'Rozpočet - HW a licencie'!$G$3:$G$105,'TCO TO BE - HW'!$D9,'Rozpočet - HW a licencie'!$D$3:$D$105,'TCO TO BE - HW'!$B$15)+SUMIFS('Rozpočet - HW a licencie'!$I$3:$I$105,'Rozpočet - HW a licencie'!$A$3:$A$105,'TCO TO BE - HW'!U$2,'Rozpočet - HW a licencie'!$C$3:$C$105,"SW pre HW",'Rozpočet - HW a licencie'!$G$3:$G$105,'TCO TO BE - HW'!$D9,'Rozpočet - HW a licencie'!$D$3:$D$105,'TCO TO BE - HW'!$B$15),)</f>
        <v>0</v>
      </c>
      <c r="V19" s="577">
        <f>IFERROR(SUMIFS('Rozpočet - HW a licencie'!$I$3:$I$105,'Rozpočet - HW a licencie'!$A$3:$A$105,'TCO TO BE - HW'!V$2,'Rozpočet - HW a licencie'!$C$3:$C$105,"HW",'Rozpočet - HW a licencie'!$G$3:$G$105,'TCO TO BE - HW'!$D9,'Rozpočet - HW a licencie'!$D$3:$D$105,'TCO TO BE - HW'!$B$15)+SUMIFS('Rozpočet - HW a licencie'!$I$3:$I$105,'Rozpočet - HW a licencie'!$A$3:$A$105,'TCO TO BE - HW'!V$2,'Rozpočet - HW a licencie'!$C$3:$C$105,"SW pre HW",'Rozpočet - HW a licencie'!$G$3:$G$105,'TCO TO BE - HW'!$D9,'Rozpočet - HW a licencie'!$D$3:$D$105,'TCO TO BE - HW'!$B$15),)</f>
        <v>0</v>
      </c>
      <c r="W19" s="577">
        <f>IFERROR(SUMIFS('Rozpočet - HW a licencie'!$I$3:$I$105,'Rozpočet - HW a licencie'!$A$3:$A$105,'TCO TO BE - HW'!W$2,'Rozpočet - HW a licencie'!$C$3:$C$105,"HW",'Rozpočet - HW a licencie'!$G$3:$G$105,'TCO TO BE - HW'!$D9,'Rozpočet - HW a licencie'!$D$3:$D$105,'TCO TO BE - HW'!$B$15)+SUMIFS('Rozpočet - HW a licencie'!$I$3:$I$105,'Rozpočet - HW a licencie'!$A$3:$A$105,'TCO TO BE - HW'!W$2,'Rozpočet - HW a licencie'!$C$3:$C$105,"SW pre HW",'Rozpočet - HW a licencie'!$G$3:$G$105,'TCO TO BE - HW'!$D9,'Rozpočet - HW a licencie'!$D$3:$D$105,'TCO TO BE - HW'!$B$15),)</f>
        <v>0</v>
      </c>
      <c r="X19" s="577">
        <f>IFERROR(SUMIFS('Rozpočet - HW a licencie'!$I$3:$I$105,'Rozpočet - HW a licencie'!$A$3:$A$105,'TCO TO BE - HW'!X$2,'Rozpočet - HW a licencie'!$C$3:$C$105,"HW",'Rozpočet - HW a licencie'!$G$3:$G$105,'TCO TO BE - HW'!$D9,'Rozpočet - HW a licencie'!$D$3:$D$105,'TCO TO BE - HW'!$B$15)+SUMIFS('Rozpočet - HW a licencie'!$I$3:$I$105,'Rozpočet - HW a licencie'!$A$3:$A$105,'TCO TO BE - HW'!X$2,'Rozpočet - HW a licencie'!$C$3:$C$105,"SW pre HW",'Rozpočet - HW a licencie'!$G$3:$G$105,'TCO TO BE - HW'!$D9,'Rozpočet - HW a licencie'!$D$3:$D$105,'TCO TO BE - HW'!$B$15),)</f>
        <v>0</v>
      </c>
      <c r="Y19" s="577">
        <f>IFERROR(SUMIFS('Rozpočet - HW a licencie'!$I$3:$I$105,'Rozpočet - HW a licencie'!$A$3:$A$105,'TCO TO BE - HW'!Y$2,'Rozpočet - HW a licencie'!$C$3:$C$105,"HW",'Rozpočet - HW a licencie'!$G$3:$G$105,'TCO TO BE - HW'!$D9,'Rozpočet - HW a licencie'!$D$3:$D$105,'TCO TO BE - HW'!$B$15)+SUMIFS('Rozpočet - HW a licencie'!$I$3:$I$105,'Rozpočet - HW a licencie'!$A$3:$A$105,'TCO TO BE - HW'!Y$2,'Rozpočet - HW a licencie'!$C$3:$C$105,"SW pre HW",'Rozpočet - HW a licencie'!$G$3:$G$105,'TCO TO BE - HW'!$D9,'Rozpočet - HW a licencie'!$D$3:$D$105,'TCO TO BE - HW'!$B$15),)</f>
        <v>0</v>
      </c>
      <c r="Z19" s="577">
        <f>IFERROR(SUMIFS('Rozpočet - HW a licencie'!$I$3:$I$105,'Rozpočet - HW a licencie'!$A$3:$A$105,'TCO TO BE - HW'!Z$2,'Rozpočet - HW a licencie'!$C$3:$C$105,"HW",'Rozpočet - HW a licencie'!$G$3:$G$105,'TCO TO BE - HW'!$D9,'Rozpočet - HW a licencie'!$D$3:$D$105,'TCO TO BE - HW'!$B$15)+SUMIFS('Rozpočet - HW a licencie'!$I$3:$I$105,'Rozpočet - HW a licencie'!$A$3:$A$105,'TCO TO BE - HW'!Z$2,'Rozpočet - HW a licencie'!$C$3:$C$105,"SW pre HW",'Rozpočet - HW a licencie'!$G$3:$G$105,'TCO TO BE - HW'!$D9,'Rozpočet - HW a licencie'!$D$3:$D$105,'TCO TO BE - HW'!$B$15),)</f>
        <v>0</v>
      </c>
    </row>
    <row r="20" spans="1:26" outlineLevel="1">
      <c r="A20" s="824"/>
      <c r="B20" s="825"/>
      <c r="C20" s="825"/>
      <c r="D20" s="498">
        <v>6</v>
      </c>
      <c r="E20" s="68">
        <f t="shared" si="2"/>
        <v>0</v>
      </c>
      <c r="F20" s="577">
        <f>IFERROR(SUMIFS('Rozpočet - HW a licencie'!$I$3:$I$105,'Rozpočet - HW a licencie'!$A$3:$A$105,'TCO TO BE - HW'!F$2,'Rozpočet - HW a licencie'!$C$3:$C$105,"HW",'Rozpočet - HW a licencie'!$G$3:$G$105,'TCO TO BE - HW'!$D10,'Rozpočet - HW a licencie'!$D$3:$D$105,'TCO TO BE - HW'!$B$15)+SUMIFS('Rozpočet - HW a licencie'!$I$3:$I$105,'Rozpočet - HW a licencie'!$A$3:$A$105,'TCO TO BE - HW'!F$2,'Rozpočet - HW a licencie'!$C$3:$C$105,"SW pre HW",'Rozpočet - HW a licencie'!$G$3:$G$105,'TCO TO BE - HW'!$D10,'Rozpočet - HW a licencie'!$D$3:$D$105,'TCO TO BE - HW'!$B$15),)</f>
        <v>0</v>
      </c>
      <c r="G20" s="577">
        <f>IFERROR(SUMIFS('Rozpočet - HW a licencie'!$I$3:$I$105,'Rozpočet - HW a licencie'!$A$3:$A$105,'TCO TO BE - HW'!G$2,'Rozpočet - HW a licencie'!$C$3:$C$105,"HW",'Rozpočet - HW a licencie'!$G$3:$G$105,'TCO TO BE - HW'!$D10,'Rozpočet - HW a licencie'!$D$3:$D$105,'TCO TO BE - HW'!$B$15)+SUMIFS('Rozpočet - HW a licencie'!$I$3:$I$105,'Rozpočet - HW a licencie'!$A$3:$A$105,'TCO TO BE - HW'!G$2,'Rozpočet - HW a licencie'!$C$3:$C$105,"SW pre HW",'Rozpočet - HW a licencie'!$G$3:$G$105,'TCO TO BE - HW'!$D10,'Rozpočet - HW a licencie'!$D$3:$D$105,'TCO TO BE - HW'!$B$15),)</f>
        <v>0</v>
      </c>
      <c r="H20" s="577">
        <f>IFERROR(SUMIFS('Rozpočet - HW a licencie'!$I$3:$I$105,'Rozpočet - HW a licencie'!$A$3:$A$105,'TCO TO BE - HW'!H$2,'Rozpočet - HW a licencie'!$C$3:$C$105,"HW",'Rozpočet - HW a licencie'!$G$3:$G$105,'TCO TO BE - HW'!$D10,'Rozpočet - HW a licencie'!$D$3:$D$105,'TCO TO BE - HW'!$B$15)+SUMIFS('Rozpočet - HW a licencie'!$I$3:$I$105,'Rozpočet - HW a licencie'!$A$3:$A$105,'TCO TO BE - HW'!H$2,'Rozpočet - HW a licencie'!$C$3:$C$105,"SW pre HW",'Rozpočet - HW a licencie'!$G$3:$G$105,'TCO TO BE - HW'!$D10,'Rozpočet - HW a licencie'!$D$3:$D$105,'TCO TO BE - HW'!$B$15),)</f>
        <v>0</v>
      </c>
      <c r="I20" s="577">
        <f>IFERROR(SUMIFS('Rozpočet - HW a licencie'!$I$3:$I$105,'Rozpočet - HW a licencie'!$A$3:$A$105,'TCO TO BE - HW'!I$2,'Rozpočet - HW a licencie'!$C$3:$C$105,"HW",'Rozpočet - HW a licencie'!$G$3:$G$105,'TCO TO BE - HW'!$D10,'Rozpočet - HW a licencie'!$D$3:$D$105,'TCO TO BE - HW'!$B$15)+SUMIFS('Rozpočet - HW a licencie'!$I$3:$I$105,'Rozpočet - HW a licencie'!$A$3:$A$105,'TCO TO BE - HW'!I$2,'Rozpočet - HW a licencie'!$C$3:$C$105,"SW pre HW",'Rozpočet - HW a licencie'!$G$3:$G$105,'TCO TO BE - HW'!$D10,'Rozpočet - HW a licencie'!$D$3:$D$105,'TCO TO BE - HW'!$B$15),)</f>
        <v>0</v>
      </c>
      <c r="J20" s="577">
        <f>IFERROR(SUMIFS('Rozpočet - HW a licencie'!$I$3:$I$105,'Rozpočet - HW a licencie'!$A$3:$A$105,'TCO TO BE - HW'!J$2,'Rozpočet - HW a licencie'!$C$3:$C$105,"HW",'Rozpočet - HW a licencie'!$G$3:$G$105,'TCO TO BE - HW'!$D10,'Rozpočet - HW a licencie'!$D$3:$D$105,'TCO TO BE - HW'!$B$15)+SUMIFS('Rozpočet - HW a licencie'!$I$3:$I$105,'Rozpočet - HW a licencie'!$A$3:$A$105,'TCO TO BE - HW'!J$2,'Rozpočet - HW a licencie'!$C$3:$C$105,"SW pre HW",'Rozpočet - HW a licencie'!$G$3:$G$105,'TCO TO BE - HW'!$D10,'Rozpočet - HW a licencie'!$D$3:$D$105,'TCO TO BE - HW'!$B$15),)</f>
        <v>0</v>
      </c>
      <c r="K20" s="577">
        <f>IFERROR(SUMIFS('Rozpočet - HW a licencie'!$I$3:$I$105,'Rozpočet - HW a licencie'!$A$3:$A$105,'TCO TO BE - HW'!K$2,'Rozpočet - HW a licencie'!$C$3:$C$105,"HW",'Rozpočet - HW a licencie'!$G$3:$G$105,'TCO TO BE - HW'!$D10,'Rozpočet - HW a licencie'!$D$3:$D$105,'TCO TO BE - HW'!$B$15)+SUMIFS('Rozpočet - HW a licencie'!$I$3:$I$105,'Rozpočet - HW a licencie'!$A$3:$A$105,'TCO TO BE - HW'!K$2,'Rozpočet - HW a licencie'!$C$3:$C$105,"SW pre HW",'Rozpočet - HW a licencie'!$G$3:$G$105,'TCO TO BE - HW'!$D10,'Rozpočet - HW a licencie'!$D$3:$D$105,'TCO TO BE - HW'!$B$15),)</f>
        <v>0</v>
      </c>
      <c r="L20" s="577">
        <f>IFERROR(SUMIFS('Rozpočet - HW a licencie'!$I$3:$I$105,'Rozpočet - HW a licencie'!$A$3:$A$105,'TCO TO BE - HW'!L$2,'Rozpočet - HW a licencie'!$C$3:$C$105,"HW",'Rozpočet - HW a licencie'!$G$3:$G$105,'TCO TO BE - HW'!$D10,'Rozpočet - HW a licencie'!$D$3:$D$105,'TCO TO BE - HW'!$B$15)+SUMIFS('Rozpočet - HW a licencie'!$I$3:$I$105,'Rozpočet - HW a licencie'!$A$3:$A$105,'TCO TO BE - HW'!L$2,'Rozpočet - HW a licencie'!$C$3:$C$105,"SW pre HW",'Rozpočet - HW a licencie'!$G$3:$G$105,'TCO TO BE - HW'!$D10,'Rozpočet - HW a licencie'!$D$3:$D$105,'TCO TO BE - HW'!$B$15),)</f>
        <v>0</v>
      </c>
      <c r="M20" s="577">
        <f>IFERROR(SUMIFS('Rozpočet - HW a licencie'!$I$3:$I$105,'Rozpočet - HW a licencie'!$A$3:$A$105,'TCO TO BE - HW'!M$2,'Rozpočet - HW a licencie'!$C$3:$C$105,"HW",'Rozpočet - HW a licencie'!$G$3:$G$105,'TCO TO BE - HW'!$D10,'Rozpočet - HW a licencie'!$D$3:$D$105,'TCO TO BE - HW'!$B$15)+SUMIFS('Rozpočet - HW a licencie'!$I$3:$I$105,'Rozpočet - HW a licencie'!$A$3:$A$105,'TCO TO BE - HW'!M$2,'Rozpočet - HW a licencie'!$C$3:$C$105,"SW pre HW",'Rozpočet - HW a licencie'!$G$3:$G$105,'TCO TO BE - HW'!$D10,'Rozpočet - HW a licencie'!$D$3:$D$105,'TCO TO BE - HW'!$B$15),)</f>
        <v>0</v>
      </c>
      <c r="N20" s="577">
        <f>IFERROR(SUMIFS('Rozpočet - HW a licencie'!$I$3:$I$105,'Rozpočet - HW a licencie'!$A$3:$A$105,'TCO TO BE - HW'!N$2,'Rozpočet - HW a licencie'!$C$3:$C$105,"HW",'Rozpočet - HW a licencie'!$G$3:$G$105,'TCO TO BE - HW'!$D10,'Rozpočet - HW a licencie'!$D$3:$D$105,'TCO TO BE - HW'!$B$15)+SUMIFS('Rozpočet - HW a licencie'!$I$3:$I$105,'Rozpočet - HW a licencie'!$A$3:$A$105,'TCO TO BE - HW'!N$2,'Rozpočet - HW a licencie'!$C$3:$C$105,"SW pre HW",'Rozpočet - HW a licencie'!$G$3:$G$105,'TCO TO BE - HW'!$D10,'Rozpočet - HW a licencie'!$D$3:$D$105,'TCO TO BE - HW'!$B$15),)</f>
        <v>0</v>
      </c>
      <c r="O20" s="577">
        <f>IFERROR(SUMIFS('Rozpočet - HW a licencie'!$I$3:$I$105,'Rozpočet - HW a licencie'!$A$3:$A$105,'TCO TO BE - HW'!O$2,'Rozpočet - HW a licencie'!$C$3:$C$105,"HW",'Rozpočet - HW a licencie'!$G$3:$G$105,'TCO TO BE - HW'!$D10,'Rozpočet - HW a licencie'!$D$3:$D$105,'TCO TO BE - HW'!$B$15)+SUMIFS('Rozpočet - HW a licencie'!$I$3:$I$105,'Rozpočet - HW a licencie'!$A$3:$A$105,'TCO TO BE - HW'!O$2,'Rozpočet - HW a licencie'!$C$3:$C$105,"SW pre HW",'Rozpočet - HW a licencie'!$G$3:$G$105,'TCO TO BE - HW'!$D10,'Rozpočet - HW a licencie'!$D$3:$D$105,'TCO TO BE - HW'!$B$15),)</f>
        <v>0</v>
      </c>
      <c r="P20" s="577">
        <f>IFERROR(SUMIFS('Rozpočet - HW a licencie'!$I$3:$I$105,'Rozpočet - HW a licencie'!$A$3:$A$105,'TCO TO BE - HW'!P$2,'Rozpočet - HW a licencie'!$C$3:$C$105,"HW",'Rozpočet - HW a licencie'!$G$3:$G$105,'TCO TO BE - HW'!$D10,'Rozpočet - HW a licencie'!$D$3:$D$105,'TCO TO BE - HW'!$B$15)+SUMIFS('Rozpočet - HW a licencie'!$I$3:$I$105,'Rozpočet - HW a licencie'!$A$3:$A$105,'TCO TO BE - HW'!P$2,'Rozpočet - HW a licencie'!$C$3:$C$105,"SW pre HW",'Rozpočet - HW a licencie'!$G$3:$G$105,'TCO TO BE - HW'!$D10,'Rozpočet - HW a licencie'!$D$3:$D$105,'TCO TO BE - HW'!$B$15),)</f>
        <v>0</v>
      </c>
      <c r="Q20" s="577">
        <f>IFERROR(SUMIFS('Rozpočet - HW a licencie'!$I$3:$I$105,'Rozpočet - HW a licencie'!$A$3:$A$105,'TCO TO BE - HW'!Q$2,'Rozpočet - HW a licencie'!$C$3:$C$105,"HW",'Rozpočet - HW a licencie'!$G$3:$G$105,'TCO TO BE - HW'!$D10,'Rozpočet - HW a licencie'!$D$3:$D$105,'TCO TO BE - HW'!$B$15)+SUMIFS('Rozpočet - HW a licencie'!$I$3:$I$105,'Rozpočet - HW a licencie'!$A$3:$A$105,'TCO TO BE - HW'!Q$2,'Rozpočet - HW a licencie'!$C$3:$C$105,"SW pre HW",'Rozpočet - HW a licencie'!$G$3:$G$105,'TCO TO BE - HW'!$D10,'Rozpočet - HW a licencie'!$D$3:$D$105,'TCO TO BE - HW'!$B$15),)</f>
        <v>0</v>
      </c>
      <c r="R20" s="577">
        <f>IFERROR(SUMIFS('Rozpočet - HW a licencie'!$I$3:$I$105,'Rozpočet - HW a licencie'!$A$3:$A$105,'TCO TO BE - HW'!R$2,'Rozpočet - HW a licencie'!$C$3:$C$105,"HW",'Rozpočet - HW a licencie'!$G$3:$G$105,'TCO TO BE - HW'!$D10,'Rozpočet - HW a licencie'!$D$3:$D$105,'TCO TO BE - HW'!$B$15)+SUMIFS('Rozpočet - HW a licencie'!$I$3:$I$105,'Rozpočet - HW a licencie'!$A$3:$A$105,'TCO TO BE - HW'!R$2,'Rozpočet - HW a licencie'!$C$3:$C$105,"SW pre HW",'Rozpočet - HW a licencie'!$G$3:$G$105,'TCO TO BE - HW'!$D10,'Rozpočet - HW a licencie'!$D$3:$D$105,'TCO TO BE - HW'!$B$15),)</f>
        <v>0</v>
      </c>
      <c r="S20" s="577">
        <f>IFERROR(SUMIFS('Rozpočet - HW a licencie'!$I$3:$I$105,'Rozpočet - HW a licencie'!$A$3:$A$105,'TCO TO BE - HW'!S$2,'Rozpočet - HW a licencie'!$C$3:$C$105,"HW",'Rozpočet - HW a licencie'!$G$3:$G$105,'TCO TO BE - HW'!$D10,'Rozpočet - HW a licencie'!$D$3:$D$105,'TCO TO BE - HW'!$B$15)+SUMIFS('Rozpočet - HW a licencie'!$I$3:$I$105,'Rozpočet - HW a licencie'!$A$3:$A$105,'TCO TO BE - HW'!S$2,'Rozpočet - HW a licencie'!$C$3:$C$105,"SW pre HW",'Rozpočet - HW a licencie'!$G$3:$G$105,'TCO TO BE - HW'!$D10,'Rozpočet - HW a licencie'!$D$3:$D$105,'TCO TO BE - HW'!$B$15),)</f>
        <v>0</v>
      </c>
      <c r="T20" s="577">
        <f>IFERROR(SUMIFS('Rozpočet - HW a licencie'!$I$3:$I$105,'Rozpočet - HW a licencie'!$A$3:$A$105,'TCO TO BE - HW'!T$2,'Rozpočet - HW a licencie'!$C$3:$C$105,"HW",'Rozpočet - HW a licencie'!$G$3:$G$105,'TCO TO BE - HW'!$D10,'Rozpočet - HW a licencie'!$D$3:$D$105,'TCO TO BE - HW'!$B$15)+SUMIFS('Rozpočet - HW a licencie'!$I$3:$I$105,'Rozpočet - HW a licencie'!$A$3:$A$105,'TCO TO BE - HW'!T$2,'Rozpočet - HW a licencie'!$C$3:$C$105,"SW pre HW",'Rozpočet - HW a licencie'!$G$3:$G$105,'TCO TO BE - HW'!$D10,'Rozpočet - HW a licencie'!$D$3:$D$105,'TCO TO BE - HW'!$B$15),)</f>
        <v>0</v>
      </c>
      <c r="U20" s="577">
        <f>IFERROR(SUMIFS('Rozpočet - HW a licencie'!$I$3:$I$105,'Rozpočet - HW a licencie'!$A$3:$A$105,'TCO TO BE - HW'!U$2,'Rozpočet - HW a licencie'!$C$3:$C$105,"HW",'Rozpočet - HW a licencie'!$G$3:$G$105,'TCO TO BE - HW'!$D10,'Rozpočet - HW a licencie'!$D$3:$D$105,'TCO TO BE - HW'!$B$15)+SUMIFS('Rozpočet - HW a licencie'!$I$3:$I$105,'Rozpočet - HW a licencie'!$A$3:$A$105,'TCO TO BE - HW'!U$2,'Rozpočet - HW a licencie'!$C$3:$C$105,"SW pre HW",'Rozpočet - HW a licencie'!$G$3:$G$105,'TCO TO BE - HW'!$D10,'Rozpočet - HW a licencie'!$D$3:$D$105,'TCO TO BE - HW'!$B$15),)</f>
        <v>0</v>
      </c>
      <c r="V20" s="577">
        <f>IFERROR(SUMIFS('Rozpočet - HW a licencie'!$I$3:$I$105,'Rozpočet - HW a licencie'!$A$3:$A$105,'TCO TO BE - HW'!V$2,'Rozpočet - HW a licencie'!$C$3:$C$105,"HW",'Rozpočet - HW a licencie'!$G$3:$G$105,'TCO TO BE - HW'!$D10,'Rozpočet - HW a licencie'!$D$3:$D$105,'TCO TO BE - HW'!$B$15)+SUMIFS('Rozpočet - HW a licencie'!$I$3:$I$105,'Rozpočet - HW a licencie'!$A$3:$A$105,'TCO TO BE - HW'!V$2,'Rozpočet - HW a licencie'!$C$3:$C$105,"SW pre HW",'Rozpočet - HW a licencie'!$G$3:$G$105,'TCO TO BE - HW'!$D10,'Rozpočet - HW a licencie'!$D$3:$D$105,'TCO TO BE - HW'!$B$15),)</f>
        <v>0</v>
      </c>
      <c r="W20" s="577">
        <f>IFERROR(SUMIFS('Rozpočet - HW a licencie'!$I$3:$I$105,'Rozpočet - HW a licencie'!$A$3:$A$105,'TCO TO BE - HW'!W$2,'Rozpočet - HW a licencie'!$C$3:$C$105,"HW",'Rozpočet - HW a licencie'!$G$3:$G$105,'TCO TO BE - HW'!$D10,'Rozpočet - HW a licencie'!$D$3:$D$105,'TCO TO BE - HW'!$B$15)+SUMIFS('Rozpočet - HW a licencie'!$I$3:$I$105,'Rozpočet - HW a licencie'!$A$3:$A$105,'TCO TO BE - HW'!W$2,'Rozpočet - HW a licencie'!$C$3:$C$105,"SW pre HW",'Rozpočet - HW a licencie'!$G$3:$G$105,'TCO TO BE - HW'!$D10,'Rozpočet - HW a licencie'!$D$3:$D$105,'TCO TO BE - HW'!$B$15),)</f>
        <v>0</v>
      </c>
      <c r="X20" s="577">
        <f>IFERROR(SUMIFS('Rozpočet - HW a licencie'!$I$3:$I$105,'Rozpočet - HW a licencie'!$A$3:$A$105,'TCO TO BE - HW'!X$2,'Rozpočet - HW a licencie'!$C$3:$C$105,"HW",'Rozpočet - HW a licencie'!$G$3:$G$105,'TCO TO BE - HW'!$D10,'Rozpočet - HW a licencie'!$D$3:$D$105,'TCO TO BE - HW'!$B$15)+SUMIFS('Rozpočet - HW a licencie'!$I$3:$I$105,'Rozpočet - HW a licencie'!$A$3:$A$105,'TCO TO BE - HW'!X$2,'Rozpočet - HW a licencie'!$C$3:$C$105,"SW pre HW",'Rozpočet - HW a licencie'!$G$3:$G$105,'TCO TO BE - HW'!$D10,'Rozpočet - HW a licencie'!$D$3:$D$105,'TCO TO BE - HW'!$B$15),)</f>
        <v>0</v>
      </c>
      <c r="Y20" s="577">
        <f>IFERROR(SUMIFS('Rozpočet - HW a licencie'!$I$3:$I$105,'Rozpočet - HW a licencie'!$A$3:$A$105,'TCO TO BE - HW'!Y$2,'Rozpočet - HW a licencie'!$C$3:$C$105,"HW",'Rozpočet - HW a licencie'!$G$3:$G$105,'TCO TO BE - HW'!$D10,'Rozpočet - HW a licencie'!$D$3:$D$105,'TCO TO BE - HW'!$B$15)+SUMIFS('Rozpočet - HW a licencie'!$I$3:$I$105,'Rozpočet - HW a licencie'!$A$3:$A$105,'TCO TO BE - HW'!Y$2,'Rozpočet - HW a licencie'!$C$3:$C$105,"SW pre HW",'Rozpočet - HW a licencie'!$G$3:$G$105,'TCO TO BE - HW'!$D10,'Rozpočet - HW a licencie'!$D$3:$D$105,'TCO TO BE - HW'!$B$15),)</f>
        <v>0</v>
      </c>
      <c r="Z20" s="577">
        <f>IFERROR(SUMIFS('Rozpočet - HW a licencie'!$I$3:$I$105,'Rozpočet - HW a licencie'!$A$3:$A$105,'TCO TO BE - HW'!Z$2,'Rozpočet - HW a licencie'!$C$3:$C$105,"HW",'Rozpočet - HW a licencie'!$G$3:$G$105,'TCO TO BE - HW'!$D10,'Rozpočet - HW a licencie'!$D$3:$D$105,'TCO TO BE - HW'!$B$15)+SUMIFS('Rozpočet - HW a licencie'!$I$3:$I$105,'Rozpočet - HW a licencie'!$A$3:$A$105,'TCO TO BE - HW'!Z$2,'Rozpočet - HW a licencie'!$C$3:$C$105,"SW pre HW",'Rozpočet - HW a licencie'!$G$3:$G$105,'TCO TO BE - HW'!$D10,'Rozpočet - HW a licencie'!$D$3:$D$105,'TCO TO BE - HW'!$B$15),)</f>
        <v>0</v>
      </c>
    </row>
    <row r="21" spans="1:26" outlineLevel="1">
      <c r="A21" s="824"/>
      <c r="B21" s="825"/>
      <c r="C21" s="825"/>
      <c r="D21" s="498">
        <v>7</v>
      </c>
      <c r="E21" s="68">
        <f t="shared" si="2"/>
        <v>0</v>
      </c>
      <c r="F21" s="577">
        <f>IFERROR(SUMIFS('Rozpočet - HW a licencie'!$I$3:$I$105,'Rozpočet - HW a licencie'!$A$3:$A$105,'TCO TO BE - HW'!F$2,'Rozpočet - HW a licencie'!$C$3:$C$105,"HW",'Rozpočet - HW a licencie'!$G$3:$G$105,'TCO TO BE - HW'!$D11,'Rozpočet - HW a licencie'!$D$3:$D$105,'TCO TO BE - HW'!$B$15)+SUMIFS('Rozpočet - HW a licencie'!$I$3:$I$105,'Rozpočet - HW a licencie'!$A$3:$A$105,'TCO TO BE - HW'!F$2,'Rozpočet - HW a licencie'!$C$3:$C$105,"SW pre HW",'Rozpočet - HW a licencie'!$G$3:$G$105,'TCO TO BE - HW'!$D11,'Rozpočet - HW a licencie'!$D$3:$D$105,'TCO TO BE - HW'!$B$15),)</f>
        <v>0</v>
      </c>
      <c r="G21" s="577">
        <f>IFERROR(SUMIFS('Rozpočet - HW a licencie'!$I$3:$I$105,'Rozpočet - HW a licencie'!$A$3:$A$105,'TCO TO BE - HW'!G$2,'Rozpočet - HW a licencie'!$C$3:$C$105,"HW",'Rozpočet - HW a licencie'!$G$3:$G$105,'TCO TO BE - HW'!$D11,'Rozpočet - HW a licencie'!$D$3:$D$105,'TCO TO BE - HW'!$B$15)+SUMIFS('Rozpočet - HW a licencie'!$I$3:$I$105,'Rozpočet - HW a licencie'!$A$3:$A$105,'TCO TO BE - HW'!G$2,'Rozpočet - HW a licencie'!$C$3:$C$105,"SW pre HW",'Rozpočet - HW a licencie'!$G$3:$G$105,'TCO TO BE - HW'!$D11,'Rozpočet - HW a licencie'!$D$3:$D$105,'TCO TO BE - HW'!$B$15),)</f>
        <v>0</v>
      </c>
      <c r="H21" s="577">
        <f>IFERROR(SUMIFS('Rozpočet - HW a licencie'!$I$3:$I$105,'Rozpočet - HW a licencie'!$A$3:$A$105,'TCO TO BE - HW'!H$2,'Rozpočet - HW a licencie'!$C$3:$C$105,"HW",'Rozpočet - HW a licencie'!$G$3:$G$105,'TCO TO BE - HW'!$D11,'Rozpočet - HW a licencie'!$D$3:$D$105,'TCO TO BE - HW'!$B$15)+SUMIFS('Rozpočet - HW a licencie'!$I$3:$I$105,'Rozpočet - HW a licencie'!$A$3:$A$105,'TCO TO BE - HW'!H$2,'Rozpočet - HW a licencie'!$C$3:$C$105,"SW pre HW",'Rozpočet - HW a licencie'!$G$3:$G$105,'TCO TO BE - HW'!$D11,'Rozpočet - HW a licencie'!$D$3:$D$105,'TCO TO BE - HW'!$B$15),)</f>
        <v>0</v>
      </c>
      <c r="I21" s="577">
        <f>IFERROR(SUMIFS('Rozpočet - HW a licencie'!$I$3:$I$105,'Rozpočet - HW a licencie'!$A$3:$A$105,'TCO TO BE - HW'!I$2,'Rozpočet - HW a licencie'!$C$3:$C$105,"HW",'Rozpočet - HW a licencie'!$G$3:$G$105,'TCO TO BE - HW'!$D11,'Rozpočet - HW a licencie'!$D$3:$D$105,'TCO TO BE - HW'!$B$15)+SUMIFS('Rozpočet - HW a licencie'!$I$3:$I$105,'Rozpočet - HW a licencie'!$A$3:$A$105,'TCO TO BE - HW'!I$2,'Rozpočet - HW a licencie'!$C$3:$C$105,"SW pre HW",'Rozpočet - HW a licencie'!$G$3:$G$105,'TCO TO BE - HW'!$D11,'Rozpočet - HW a licencie'!$D$3:$D$105,'TCO TO BE - HW'!$B$15),)</f>
        <v>0</v>
      </c>
      <c r="J21" s="577">
        <f>IFERROR(SUMIFS('Rozpočet - HW a licencie'!$I$3:$I$105,'Rozpočet - HW a licencie'!$A$3:$A$105,'TCO TO BE - HW'!J$2,'Rozpočet - HW a licencie'!$C$3:$C$105,"HW",'Rozpočet - HW a licencie'!$G$3:$G$105,'TCO TO BE - HW'!$D11,'Rozpočet - HW a licencie'!$D$3:$D$105,'TCO TO BE - HW'!$B$15)+SUMIFS('Rozpočet - HW a licencie'!$I$3:$I$105,'Rozpočet - HW a licencie'!$A$3:$A$105,'TCO TO BE - HW'!J$2,'Rozpočet - HW a licencie'!$C$3:$C$105,"SW pre HW",'Rozpočet - HW a licencie'!$G$3:$G$105,'TCO TO BE - HW'!$D11,'Rozpočet - HW a licencie'!$D$3:$D$105,'TCO TO BE - HW'!$B$15),)</f>
        <v>0</v>
      </c>
      <c r="K21" s="577">
        <f>IFERROR(SUMIFS('Rozpočet - HW a licencie'!$I$3:$I$105,'Rozpočet - HW a licencie'!$A$3:$A$105,'TCO TO BE - HW'!K$2,'Rozpočet - HW a licencie'!$C$3:$C$105,"HW",'Rozpočet - HW a licencie'!$G$3:$G$105,'TCO TO BE - HW'!$D11,'Rozpočet - HW a licencie'!$D$3:$D$105,'TCO TO BE - HW'!$B$15)+SUMIFS('Rozpočet - HW a licencie'!$I$3:$I$105,'Rozpočet - HW a licencie'!$A$3:$A$105,'TCO TO BE - HW'!K$2,'Rozpočet - HW a licencie'!$C$3:$C$105,"SW pre HW",'Rozpočet - HW a licencie'!$G$3:$G$105,'TCO TO BE - HW'!$D11,'Rozpočet - HW a licencie'!$D$3:$D$105,'TCO TO BE - HW'!$B$15),)</f>
        <v>0</v>
      </c>
      <c r="L21" s="577">
        <f>IFERROR(SUMIFS('Rozpočet - HW a licencie'!$I$3:$I$105,'Rozpočet - HW a licencie'!$A$3:$A$105,'TCO TO BE - HW'!L$2,'Rozpočet - HW a licencie'!$C$3:$C$105,"HW",'Rozpočet - HW a licencie'!$G$3:$G$105,'TCO TO BE - HW'!$D11,'Rozpočet - HW a licencie'!$D$3:$D$105,'TCO TO BE - HW'!$B$15)+SUMIFS('Rozpočet - HW a licencie'!$I$3:$I$105,'Rozpočet - HW a licencie'!$A$3:$A$105,'TCO TO BE - HW'!L$2,'Rozpočet - HW a licencie'!$C$3:$C$105,"SW pre HW",'Rozpočet - HW a licencie'!$G$3:$G$105,'TCO TO BE - HW'!$D11,'Rozpočet - HW a licencie'!$D$3:$D$105,'TCO TO BE - HW'!$B$15),)</f>
        <v>0</v>
      </c>
      <c r="M21" s="577">
        <f>IFERROR(SUMIFS('Rozpočet - HW a licencie'!$I$3:$I$105,'Rozpočet - HW a licencie'!$A$3:$A$105,'TCO TO BE - HW'!M$2,'Rozpočet - HW a licencie'!$C$3:$C$105,"HW",'Rozpočet - HW a licencie'!$G$3:$G$105,'TCO TO BE - HW'!$D11,'Rozpočet - HW a licencie'!$D$3:$D$105,'TCO TO BE - HW'!$B$15)+SUMIFS('Rozpočet - HW a licencie'!$I$3:$I$105,'Rozpočet - HW a licencie'!$A$3:$A$105,'TCO TO BE - HW'!M$2,'Rozpočet - HW a licencie'!$C$3:$C$105,"SW pre HW",'Rozpočet - HW a licencie'!$G$3:$G$105,'TCO TO BE - HW'!$D11,'Rozpočet - HW a licencie'!$D$3:$D$105,'TCO TO BE - HW'!$B$15),)</f>
        <v>0</v>
      </c>
      <c r="N21" s="577">
        <f>IFERROR(SUMIFS('Rozpočet - HW a licencie'!$I$3:$I$105,'Rozpočet - HW a licencie'!$A$3:$A$105,'TCO TO BE - HW'!N$2,'Rozpočet - HW a licencie'!$C$3:$C$105,"HW",'Rozpočet - HW a licencie'!$G$3:$G$105,'TCO TO BE - HW'!$D11,'Rozpočet - HW a licencie'!$D$3:$D$105,'TCO TO BE - HW'!$B$15)+SUMIFS('Rozpočet - HW a licencie'!$I$3:$I$105,'Rozpočet - HW a licencie'!$A$3:$A$105,'TCO TO BE - HW'!N$2,'Rozpočet - HW a licencie'!$C$3:$C$105,"SW pre HW",'Rozpočet - HW a licencie'!$G$3:$G$105,'TCO TO BE - HW'!$D11,'Rozpočet - HW a licencie'!$D$3:$D$105,'TCO TO BE - HW'!$B$15),)</f>
        <v>0</v>
      </c>
      <c r="O21" s="577">
        <f>IFERROR(SUMIFS('Rozpočet - HW a licencie'!$I$3:$I$105,'Rozpočet - HW a licencie'!$A$3:$A$105,'TCO TO BE - HW'!O$2,'Rozpočet - HW a licencie'!$C$3:$C$105,"HW",'Rozpočet - HW a licencie'!$G$3:$G$105,'TCO TO BE - HW'!$D11,'Rozpočet - HW a licencie'!$D$3:$D$105,'TCO TO BE - HW'!$B$15)+SUMIFS('Rozpočet - HW a licencie'!$I$3:$I$105,'Rozpočet - HW a licencie'!$A$3:$A$105,'TCO TO BE - HW'!O$2,'Rozpočet - HW a licencie'!$C$3:$C$105,"SW pre HW",'Rozpočet - HW a licencie'!$G$3:$G$105,'TCO TO BE - HW'!$D11,'Rozpočet - HW a licencie'!$D$3:$D$105,'TCO TO BE - HW'!$B$15),)</f>
        <v>0</v>
      </c>
      <c r="P21" s="577">
        <f>IFERROR(SUMIFS('Rozpočet - HW a licencie'!$I$3:$I$105,'Rozpočet - HW a licencie'!$A$3:$A$105,'TCO TO BE - HW'!P$2,'Rozpočet - HW a licencie'!$C$3:$C$105,"HW",'Rozpočet - HW a licencie'!$G$3:$G$105,'TCO TO BE - HW'!$D11,'Rozpočet - HW a licencie'!$D$3:$D$105,'TCO TO BE - HW'!$B$15)+SUMIFS('Rozpočet - HW a licencie'!$I$3:$I$105,'Rozpočet - HW a licencie'!$A$3:$A$105,'TCO TO BE - HW'!P$2,'Rozpočet - HW a licencie'!$C$3:$C$105,"SW pre HW",'Rozpočet - HW a licencie'!$G$3:$G$105,'TCO TO BE - HW'!$D11,'Rozpočet - HW a licencie'!$D$3:$D$105,'TCO TO BE - HW'!$B$15),)</f>
        <v>0</v>
      </c>
      <c r="Q21" s="577">
        <f>IFERROR(SUMIFS('Rozpočet - HW a licencie'!$I$3:$I$105,'Rozpočet - HW a licencie'!$A$3:$A$105,'TCO TO BE - HW'!Q$2,'Rozpočet - HW a licencie'!$C$3:$C$105,"HW",'Rozpočet - HW a licencie'!$G$3:$G$105,'TCO TO BE - HW'!$D11,'Rozpočet - HW a licencie'!$D$3:$D$105,'TCO TO BE - HW'!$B$15)+SUMIFS('Rozpočet - HW a licencie'!$I$3:$I$105,'Rozpočet - HW a licencie'!$A$3:$A$105,'TCO TO BE - HW'!Q$2,'Rozpočet - HW a licencie'!$C$3:$C$105,"SW pre HW",'Rozpočet - HW a licencie'!$G$3:$G$105,'TCO TO BE - HW'!$D11,'Rozpočet - HW a licencie'!$D$3:$D$105,'TCO TO BE - HW'!$B$15),)</f>
        <v>0</v>
      </c>
      <c r="R21" s="577">
        <f>IFERROR(SUMIFS('Rozpočet - HW a licencie'!$I$3:$I$105,'Rozpočet - HW a licencie'!$A$3:$A$105,'TCO TO BE - HW'!R$2,'Rozpočet - HW a licencie'!$C$3:$C$105,"HW",'Rozpočet - HW a licencie'!$G$3:$G$105,'TCO TO BE - HW'!$D11,'Rozpočet - HW a licencie'!$D$3:$D$105,'TCO TO BE - HW'!$B$15)+SUMIFS('Rozpočet - HW a licencie'!$I$3:$I$105,'Rozpočet - HW a licencie'!$A$3:$A$105,'TCO TO BE - HW'!R$2,'Rozpočet - HW a licencie'!$C$3:$C$105,"SW pre HW",'Rozpočet - HW a licencie'!$G$3:$G$105,'TCO TO BE - HW'!$D11,'Rozpočet - HW a licencie'!$D$3:$D$105,'TCO TO BE - HW'!$B$15),)</f>
        <v>0</v>
      </c>
      <c r="S21" s="577">
        <f>IFERROR(SUMIFS('Rozpočet - HW a licencie'!$I$3:$I$105,'Rozpočet - HW a licencie'!$A$3:$A$105,'TCO TO BE - HW'!S$2,'Rozpočet - HW a licencie'!$C$3:$C$105,"HW",'Rozpočet - HW a licencie'!$G$3:$G$105,'TCO TO BE - HW'!$D11,'Rozpočet - HW a licencie'!$D$3:$D$105,'TCO TO BE - HW'!$B$15)+SUMIFS('Rozpočet - HW a licencie'!$I$3:$I$105,'Rozpočet - HW a licencie'!$A$3:$A$105,'TCO TO BE - HW'!S$2,'Rozpočet - HW a licencie'!$C$3:$C$105,"SW pre HW",'Rozpočet - HW a licencie'!$G$3:$G$105,'TCO TO BE - HW'!$D11,'Rozpočet - HW a licencie'!$D$3:$D$105,'TCO TO BE - HW'!$B$15),)</f>
        <v>0</v>
      </c>
      <c r="T21" s="577">
        <f>IFERROR(SUMIFS('Rozpočet - HW a licencie'!$I$3:$I$105,'Rozpočet - HW a licencie'!$A$3:$A$105,'TCO TO BE - HW'!T$2,'Rozpočet - HW a licencie'!$C$3:$C$105,"HW",'Rozpočet - HW a licencie'!$G$3:$G$105,'TCO TO BE - HW'!$D11,'Rozpočet - HW a licencie'!$D$3:$D$105,'TCO TO BE - HW'!$B$15)+SUMIFS('Rozpočet - HW a licencie'!$I$3:$I$105,'Rozpočet - HW a licencie'!$A$3:$A$105,'TCO TO BE - HW'!T$2,'Rozpočet - HW a licencie'!$C$3:$C$105,"SW pre HW",'Rozpočet - HW a licencie'!$G$3:$G$105,'TCO TO BE - HW'!$D11,'Rozpočet - HW a licencie'!$D$3:$D$105,'TCO TO BE - HW'!$B$15),)</f>
        <v>0</v>
      </c>
      <c r="U21" s="577">
        <f>IFERROR(SUMIFS('Rozpočet - HW a licencie'!$I$3:$I$105,'Rozpočet - HW a licencie'!$A$3:$A$105,'TCO TO BE - HW'!U$2,'Rozpočet - HW a licencie'!$C$3:$C$105,"HW",'Rozpočet - HW a licencie'!$G$3:$G$105,'TCO TO BE - HW'!$D11,'Rozpočet - HW a licencie'!$D$3:$D$105,'TCO TO BE - HW'!$B$15)+SUMIFS('Rozpočet - HW a licencie'!$I$3:$I$105,'Rozpočet - HW a licencie'!$A$3:$A$105,'TCO TO BE - HW'!U$2,'Rozpočet - HW a licencie'!$C$3:$C$105,"SW pre HW",'Rozpočet - HW a licencie'!$G$3:$G$105,'TCO TO BE - HW'!$D11,'Rozpočet - HW a licencie'!$D$3:$D$105,'TCO TO BE - HW'!$B$15),)</f>
        <v>0</v>
      </c>
      <c r="V21" s="577">
        <f>IFERROR(SUMIFS('Rozpočet - HW a licencie'!$I$3:$I$105,'Rozpočet - HW a licencie'!$A$3:$A$105,'TCO TO BE - HW'!V$2,'Rozpočet - HW a licencie'!$C$3:$C$105,"HW",'Rozpočet - HW a licencie'!$G$3:$G$105,'TCO TO BE - HW'!$D11,'Rozpočet - HW a licencie'!$D$3:$D$105,'TCO TO BE - HW'!$B$15)+SUMIFS('Rozpočet - HW a licencie'!$I$3:$I$105,'Rozpočet - HW a licencie'!$A$3:$A$105,'TCO TO BE - HW'!V$2,'Rozpočet - HW a licencie'!$C$3:$C$105,"SW pre HW",'Rozpočet - HW a licencie'!$G$3:$G$105,'TCO TO BE - HW'!$D11,'Rozpočet - HW a licencie'!$D$3:$D$105,'TCO TO BE - HW'!$B$15),)</f>
        <v>0</v>
      </c>
      <c r="W21" s="577">
        <f>IFERROR(SUMIFS('Rozpočet - HW a licencie'!$I$3:$I$105,'Rozpočet - HW a licencie'!$A$3:$A$105,'TCO TO BE - HW'!W$2,'Rozpočet - HW a licencie'!$C$3:$C$105,"HW",'Rozpočet - HW a licencie'!$G$3:$G$105,'TCO TO BE - HW'!$D11,'Rozpočet - HW a licencie'!$D$3:$D$105,'TCO TO BE - HW'!$B$15)+SUMIFS('Rozpočet - HW a licencie'!$I$3:$I$105,'Rozpočet - HW a licencie'!$A$3:$A$105,'TCO TO BE - HW'!W$2,'Rozpočet - HW a licencie'!$C$3:$C$105,"SW pre HW",'Rozpočet - HW a licencie'!$G$3:$G$105,'TCO TO BE - HW'!$D11,'Rozpočet - HW a licencie'!$D$3:$D$105,'TCO TO BE - HW'!$B$15),)</f>
        <v>0</v>
      </c>
      <c r="X21" s="577">
        <f>IFERROR(SUMIFS('Rozpočet - HW a licencie'!$I$3:$I$105,'Rozpočet - HW a licencie'!$A$3:$A$105,'TCO TO BE - HW'!X$2,'Rozpočet - HW a licencie'!$C$3:$C$105,"HW",'Rozpočet - HW a licencie'!$G$3:$G$105,'TCO TO BE - HW'!$D11,'Rozpočet - HW a licencie'!$D$3:$D$105,'TCO TO BE - HW'!$B$15)+SUMIFS('Rozpočet - HW a licencie'!$I$3:$I$105,'Rozpočet - HW a licencie'!$A$3:$A$105,'TCO TO BE - HW'!X$2,'Rozpočet - HW a licencie'!$C$3:$C$105,"SW pre HW",'Rozpočet - HW a licencie'!$G$3:$G$105,'TCO TO BE - HW'!$D11,'Rozpočet - HW a licencie'!$D$3:$D$105,'TCO TO BE - HW'!$B$15),)</f>
        <v>0</v>
      </c>
      <c r="Y21" s="577">
        <f>IFERROR(SUMIFS('Rozpočet - HW a licencie'!$I$3:$I$105,'Rozpočet - HW a licencie'!$A$3:$A$105,'TCO TO BE - HW'!Y$2,'Rozpočet - HW a licencie'!$C$3:$C$105,"HW",'Rozpočet - HW a licencie'!$G$3:$G$105,'TCO TO BE - HW'!$D11,'Rozpočet - HW a licencie'!$D$3:$D$105,'TCO TO BE - HW'!$B$15)+SUMIFS('Rozpočet - HW a licencie'!$I$3:$I$105,'Rozpočet - HW a licencie'!$A$3:$A$105,'TCO TO BE - HW'!Y$2,'Rozpočet - HW a licencie'!$C$3:$C$105,"SW pre HW",'Rozpočet - HW a licencie'!$G$3:$G$105,'TCO TO BE - HW'!$D11,'Rozpočet - HW a licencie'!$D$3:$D$105,'TCO TO BE - HW'!$B$15),)</f>
        <v>0</v>
      </c>
      <c r="Z21" s="577">
        <f>IFERROR(SUMIFS('Rozpočet - HW a licencie'!$I$3:$I$105,'Rozpočet - HW a licencie'!$A$3:$A$105,'TCO TO BE - HW'!Z$2,'Rozpočet - HW a licencie'!$C$3:$C$105,"HW",'Rozpočet - HW a licencie'!$G$3:$G$105,'TCO TO BE - HW'!$D11,'Rozpočet - HW a licencie'!$D$3:$D$105,'TCO TO BE - HW'!$B$15)+SUMIFS('Rozpočet - HW a licencie'!$I$3:$I$105,'Rozpočet - HW a licencie'!$A$3:$A$105,'TCO TO BE - HW'!Z$2,'Rozpočet - HW a licencie'!$C$3:$C$105,"SW pre HW",'Rozpočet - HW a licencie'!$G$3:$G$105,'TCO TO BE - HW'!$D11,'Rozpočet - HW a licencie'!$D$3:$D$105,'TCO TO BE - HW'!$B$15),)</f>
        <v>0</v>
      </c>
    </row>
    <row r="22" spans="1:26" outlineLevel="1">
      <c r="A22" s="824"/>
      <c r="B22" s="825"/>
      <c r="C22" s="825"/>
      <c r="D22" s="498">
        <v>8</v>
      </c>
      <c r="E22" s="68">
        <f t="shared" si="2"/>
        <v>0</v>
      </c>
      <c r="F22" s="577">
        <f>IFERROR(SUMIFS('Rozpočet - HW a licencie'!$I$3:$I$105,'Rozpočet - HW a licencie'!$A$3:$A$105,'TCO TO BE - HW'!F$2,'Rozpočet - HW a licencie'!$C$3:$C$105,"HW",'Rozpočet - HW a licencie'!$G$3:$G$105,'TCO TO BE - HW'!$D12,'Rozpočet - HW a licencie'!$D$3:$D$105,'TCO TO BE - HW'!$B$15)+SUMIFS('Rozpočet - HW a licencie'!$I$3:$I$105,'Rozpočet - HW a licencie'!$A$3:$A$105,'TCO TO BE - HW'!F$2,'Rozpočet - HW a licencie'!$C$3:$C$105,"SW pre HW",'Rozpočet - HW a licencie'!$G$3:$G$105,'TCO TO BE - HW'!$D12,'Rozpočet - HW a licencie'!$D$3:$D$105,'TCO TO BE - HW'!$B$15),)</f>
        <v>0</v>
      </c>
      <c r="G22" s="577">
        <f>IFERROR(SUMIFS('Rozpočet - HW a licencie'!$I$3:$I$105,'Rozpočet - HW a licencie'!$A$3:$A$105,'TCO TO BE - HW'!G$2,'Rozpočet - HW a licencie'!$C$3:$C$105,"HW",'Rozpočet - HW a licencie'!$G$3:$G$105,'TCO TO BE - HW'!$D12,'Rozpočet - HW a licencie'!$D$3:$D$105,'TCO TO BE - HW'!$B$15)+SUMIFS('Rozpočet - HW a licencie'!$I$3:$I$105,'Rozpočet - HW a licencie'!$A$3:$A$105,'TCO TO BE - HW'!G$2,'Rozpočet - HW a licencie'!$C$3:$C$105,"SW pre HW",'Rozpočet - HW a licencie'!$G$3:$G$105,'TCO TO BE - HW'!$D12,'Rozpočet - HW a licencie'!$D$3:$D$105,'TCO TO BE - HW'!$B$15),)</f>
        <v>0</v>
      </c>
      <c r="H22" s="577">
        <f>IFERROR(SUMIFS('Rozpočet - HW a licencie'!$I$3:$I$105,'Rozpočet - HW a licencie'!$A$3:$A$105,'TCO TO BE - HW'!H$2,'Rozpočet - HW a licencie'!$C$3:$C$105,"HW",'Rozpočet - HW a licencie'!$G$3:$G$105,'TCO TO BE - HW'!$D12,'Rozpočet - HW a licencie'!$D$3:$D$105,'TCO TO BE - HW'!$B$15)+SUMIFS('Rozpočet - HW a licencie'!$I$3:$I$105,'Rozpočet - HW a licencie'!$A$3:$A$105,'TCO TO BE - HW'!H$2,'Rozpočet - HW a licencie'!$C$3:$C$105,"SW pre HW",'Rozpočet - HW a licencie'!$G$3:$G$105,'TCO TO BE - HW'!$D12,'Rozpočet - HW a licencie'!$D$3:$D$105,'TCO TO BE - HW'!$B$15),)</f>
        <v>0</v>
      </c>
      <c r="I22" s="577">
        <f>IFERROR(SUMIFS('Rozpočet - HW a licencie'!$I$3:$I$105,'Rozpočet - HW a licencie'!$A$3:$A$105,'TCO TO BE - HW'!I$2,'Rozpočet - HW a licencie'!$C$3:$C$105,"HW",'Rozpočet - HW a licencie'!$G$3:$G$105,'TCO TO BE - HW'!$D12,'Rozpočet - HW a licencie'!$D$3:$D$105,'TCO TO BE - HW'!$B$15)+SUMIFS('Rozpočet - HW a licencie'!$I$3:$I$105,'Rozpočet - HW a licencie'!$A$3:$A$105,'TCO TO BE - HW'!I$2,'Rozpočet - HW a licencie'!$C$3:$C$105,"SW pre HW",'Rozpočet - HW a licencie'!$G$3:$G$105,'TCO TO BE - HW'!$D12,'Rozpočet - HW a licencie'!$D$3:$D$105,'TCO TO BE - HW'!$B$15),)</f>
        <v>0</v>
      </c>
      <c r="J22" s="577">
        <f>IFERROR(SUMIFS('Rozpočet - HW a licencie'!$I$3:$I$105,'Rozpočet - HW a licencie'!$A$3:$A$105,'TCO TO BE - HW'!J$2,'Rozpočet - HW a licencie'!$C$3:$C$105,"HW",'Rozpočet - HW a licencie'!$G$3:$G$105,'TCO TO BE - HW'!$D12,'Rozpočet - HW a licencie'!$D$3:$D$105,'TCO TO BE - HW'!$B$15)+SUMIFS('Rozpočet - HW a licencie'!$I$3:$I$105,'Rozpočet - HW a licencie'!$A$3:$A$105,'TCO TO BE - HW'!J$2,'Rozpočet - HW a licencie'!$C$3:$C$105,"SW pre HW",'Rozpočet - HW a licencie'!$G$3:$G$105,'TCO TO BE - HW'!$D12,'Rozpočet - HW a licencie'!$D$3:$D$105,'TCO TO BE - HW'!$B$15),)</f>
        <v>0</v>
      </c>
      <c r="K22" s="577">
        <f>IFERROR(SUMIFS('Rozpočet - HW a licencie'!$I$3:$I$105,'Rozpočet - HW a licencie'!$A$3:$A$105,'TCO TO BE - HW'!K$2,'Rozpočet - HW a licencie'!$C$3:$C$105,"HW",'Rozpočet - HW a licencie'!$G$3:$G$105,'TCO TO BE - HW'!$D12,'Rozpočet - HW a licencie'!$D$3:$D$105,'TCO TO BE - HW'!$B$15)+SUMIFS('Rozpočet - HW a licencie'!$I$3:$I$105,'Rozpočet - HW a licencie'!$A$3:$A$105,'TCO TO BE - HW'!K$2,'Rozpočet - HW a licencie'!$C$3:$C$105,"SW pre HW",'Rozpočet - HW a licencie'!$G$3:$G$105,'TCO TO BE - HW'!$D12,'Rozpočet - HW a licencie'!$D$3:$D$105,'TCO TO BE - HW'!$B$15),)</f>
        <v>0</v>
      </c>
      <c r="L22" s="577">
        <f>IFERROR(SUMIFS('Rozpočet - HW a licencie'!$I$3:$I$105,'Rozpočet - HW a licencie'!$A$3:$A$105,'TCO TO BE - HW'!L$2,'Rozpočet - HW a licencie'!$C$3:$C$105,"HW",'Rozpočet - HW a licencie'!$G$3:$G$105,'TCO TO BE - HW'!$D12,'Rozpočet - HW a licencie'!$D$3:$D$105,'TCO TO BE - HW'!$B$15)+SUMIFS('Rozpočet - HW a licencie'!$I$3:$I$105,'Rozpočet - HW a licencie'!$A$3:$A$105,'TCO TO BE - HW'!L$2,'Rozpočet - HW a licencie'!$C$3:$C$105,"SW pre HW",'Rozpočet - HW a licencie'!$G$3:$G$105,'TCO TO BE - HW'!$D12,'Rozpočet - HW a licencie'!$D$3:$D$105,'TCO TO BE - HW'!$B$15),)</f>
        <v>0</v>
      </c>
      <c r="M22" s="577">
        <f>IFERROR(SUMIFS('Rozpočet - HW a licencie'!$I$3:$I$105,'Rozpočet - HW a licencie'!$A$3:$A$105,'TCO TO BE - HW'!M$2,'Rozpočet - HW a licencie'!$C$3:$C$105,"HW",'Rozpočet - HW a licencie'!$G$3:$G$105,'TCO TO BE - HW'!$D12,'Rozpočet - HW a licencie'!$D$3:$D$105,'TCO TO BE - HW'!$B$15)+SUMIFS('Rozpočet - HW a licencie'!$I$3:$I$105,'Rozpočet - HW a licencie'!$A$3:$A$105,'TCO TO BE - HW'!M$2,'Rozpočet - HW a licencie'!$C$3:$C$105,"SW pre HW",'Rozpočet - HW a licencie'!$G$3:$G$105,'TCO TO BE - HW'!$D12,'Rozpočet - HW a licencie'!$D$3:$D$105,'TCO TO BE - HW'!$B$15),)</f>
        <v>0</v>
      </c>
      <c r="N22" s="577">
        <f>IFERROR(SUMIFS('Rozpočet - HW a licencie'!$I$3:$I$105,'Rozpočet - HW a licencie'!$A$3:$A$105,'TCO TO BE - HW'!N$2,'Rozpočet - HW a licencie'!$C$3:$C$105,"HW",'Rozpočet - HW a licencie'!$G$3:$G$105,'TCO TO BE - HW'!$D12,'Rozpočet - HW a licencie'!$D$3:$D$105,'TCO TO BE - HW'!$B$15)+SUMIFS('Rozpočet - HW a licencie'!$I$3:$I$105,'Rozpočet - HW a licencie'!$A$3:$A$105,'TCO TO BE - HW'!N$2,'Rozpočet - HW a licencie'!$C$3:$C$105,"SW pre HW",'Rozpočet - HW a licencie'!$G$3:$G$105,'TCO TO BE - HW'!$D12,'Rozpočet - HW a licencie'!$D$3:$D$105,'TCO TO BE - HW'!$B$15),)</f>
        <v>0</v>
      </c>
      <c r="O22" s="577">
        <f>IFERROR(SUMIFS('Rozpočet - HW a licencie'!$I$3:$I$105,'Rozpočet - HW a licencie'!$A$3:$A$105,'TCO TO BE - HW'!O$2,'Rozpočet - HW a licencie'!$C$3:$C$105,"HW",'Rozpočet - HW a licencie'!$G$3:$G$105,'TCO TO BE - HW'!$D12,'Rozpočet - HW a licencie'!$D$3:$D$105,'TCO TO BE - HW'!$B$15)+SUMIFS('Rozpočet - HW a licencie'!$I$3:$I$105,'Rozpočet - HW a licencie'!$A$3:$A$105,'TCO TO BE - HW'!O$2,'Rozpočet - HW a licencie'!$C$3:$C$105,"SW pre HW",'Rozpočet - HW a licencie'!$G$3:$G$105,'TCO TO BE - HW'!$D12,'Rozpočet - HW a licencie'!$D$3:$D$105,'TCO TO BE - HW'!$B$15),)</f>
        <v>0</v>
      </c>
      <c r="P22" s="577">
        <f>IFERROR(SUMIFS('Rozpočet - HW a licencie'!$I$3:$I$105,'Rozpočet - HW a licencie'!$A$3:$A$105,'TCO TO BE - HW'!P$2,'Rozpočet - HW a licencie'!$C$3:$C$105,"HW",'Rozpočet - HW a licencie'!$G$3:$G$105,'TCO TO BE - HW'!$D12,'Rozpočet - HW a licencie'!$D$3:$D$105,'TCO TO BE - HW'!$B$15)+SUMIFS('Rozpočet - HW a licencie'!$I$3:$I$105,'Rozpočet - HW a licencie'!$A$3:$A$105,'TCO TO BE - HW'!P$2,'Rozpočet - HW a licencie'!$C$3:$C$105,"SW pre HW",'Rozpočet - HW a licencie'!$G$3:$G$105,'TCO TO BE - HW'!$D12,'Rozpočet - HW a licencie'!$D$3:$D$105,'TCO TO BE - HW'!$B$15),)</f>
        <v>0</v>
      </c>
      <c r="Q22" s="577">
        <f>IFERROR(SUMIFS('Rozpočet - HW a licencie'!$I$3:$I$105,'Rozpočet - HW a licencie'!$A$3:$A$105,'TCO TO BE - HW'!Q$2,'Rozpočet - HW a licencie'!$C$3:$C$105,"HW",'Rozpočet - HW a licencie'!$G$3:$G$105,'TCO TO BE - HW'!$D12,'Rozpočet - HW a licencie'!$D$3:$D$105,'TCO TO BE - HW'!$B$15)+SUMIFS('Rozpočet - HW a licencie'!$I$3:$I$105,'Rozpočet - HW a licencie'!$A$3:$A$105,'TCO TO BE - HW'!Q$2,'Rozpočet - HW a licencie'!$C$3:$C$105,"SW pre HW",'Rozpočet - HW a licencie'!$G$3:$G$105,'TCO TO BE - HW'!$D12,'Rozpočet - HW a licencie'!$D$3:$D$105,'TCO TO BE - HW'!$B$15),)</f>
        <v>0</v>
      </c>
      <c r="R22" s="577">
        <f>IFERROR(SUMIFS('Rozpočet - HW a licencie'!$I$3:$I$105,'Rozpočet - HW a licencie'!$A$3:$A$105,'TCO TO BE - HW'!R$2,'Rozpočet - HW a licencie'!$C$3:$C$105,"HW",'Rozpočet - HW a licencie'!$G$3:$G$105,'TCO TO BE - HW'!$D12,'Rozpočet - HW a licencie'!$D$3:$D$105,'TCO TO BE - HW'!$B$15)+SUMIFS('Rozpočet - HW a licencie'!$I$3:$I$105,'Rozpočet - HW a licencie'!$A$3:$A$105,'TCO TO BE - HW'!R$2,'Rozpočet - HW a licencie'!$C$3:$C$105,"SW pre HW",'Rozpočet - HW a licencie'!$G$3:$G$105,'TCO TO BE - HW'!$D12,'Rozpočet - HW a licencie'!$D$3:$D$105,'TCO TO BE - HW'!$B$15),)</f>
        <v>0</v>
      </c>
      <c r="S22" s="577">
        <f>IFERROR(SUMIFS('Rozpočet - HW a licencie'!$I$3:$I$105,'Rozpočet - HW a licencie'!$A$3:$A$105,'TCO TO BE - HW'!S$2,'Rozpočet - HW a licencie'!$C$3:$C$105,"HW",'Rozpočet - HW a licencie'!$G$3:$G$105,'TCO TO BE - HW'!$D12,'Rozpočet - HW a licencie'!$D$3:$D$105,'TCO TO BE - HW'!$B$15)+SUMIFS('Rozpočet - HW a licencie'!$I$3:$I$105,'Rozpočet - HW a licencie'!$A$3:$A$105,'TCO TO BE - HW'!S$2,'Rozpočet - HW a licencie'!$C$3:$C$105,"SW pre HW",'Rozpočet - HW a licencie'!$G$3:$G$105,'TCO TO BE - HW'!$D12,'Rozpočet - HW a licencie'!$D$3:$D$105,'TCO TO BE - HW'!$B$15),)</f>
        <v>0</v>
      </c>
      <c r="T22" s="577">
        <f>IFERROR(SUMIFS('Rozpočet - HW a licencie'!$I$3:$I$105,'Rozpočet - HW a licencie'!$A$3:$A$105,'TCO TO BE - HW'!T$2,'Rozpočet - HW a licencie'!$C$3:$C$105,"HW",'Rozpočet - HW a licencie'!$G$3:$G$105,'TCO TO BE - HW'!$D12,'Rozpočet - HW a licencie'!$D$3:$D$105,'TCO TO BE - HW'!$B$15)+SUMIFS('Rozpočet - HW a licencie'!$I$3:$I$105,'Rozpočet - HW a licencie'!$A$3:$A$105,'TCO TO BE - HW'!T$2,'Rozpočet - HW a licencie'!$C$3:$C$105,"SW pre HW",'Rozpočet - HW a licencie'!$G$3:$G$105,'TCO TO BE - HW'!$D12,'Rozpočet - HW a licencie'!$D$3:$D$105,'TCO TO BE - HW'!$B$15),)</f>
        <v>0</v>
      </c>
      <c r="U22" s="577">
        <f>IFERROR(SUMIFS('Rozpočet - HW a licencie'!$I$3:$I$105,'Rozpočet - HW a licencie'!$A$3:$A$105,'TCO TO BE - HW'!U$2,'Rozpočet - HW a licencie'!$C$3:$C$105,"HW",'Rozpočet - HW a licencie'!$G$3:$G$105,'TCO TO BE - HW'!$D12,'Rozpočet - HW a licencie'!$D$3:$D$105,'TCO TO BE - HW'!$B$15)+SUMIFS('Rozpočet - HW a licencie'!$I$3:$I$105,'Rozpočet - HW a licencie'!$A$3:$A$105,'TCO TO BE - HW'!U$2,'Rozpočet - HW a licencie'!$C$3:$C$105,"SW pre HW",'Rozpočet - HW a licencie'!$G$3:$G$105,'TCO TO BE - HW'!$D12,'Rozpočet - HW a licencie'!$D$3:$D$105,'TCO TO BE - HW'!$B$15),)</f>
        <v>0</v>
      </c>
      <c r="V22" s="577">
        <f>IFERROR(SUMIFS('Rozpočet - HW a licencie'!$I$3:$I$105,'Rozpočet - HW a licencie'!$A$3:$A$105,'TCO TO BE - HW'!V$2,'Rozpočet - HW a licencie'!$C$3:$C$105,"HW",'Rozpočet - HW a licencie'!$G$3:$G$105,'TCO TO BE - HW'!$D12,'Rozpočet - HW a licencie'!$D$3:$D$105,'TCO TO BE - HW'!$B$15)+SUMIFS('Rozpočet - HW a licencie'!$I$3:$I$105,'Rozpočet - HW a licencie'!$A$3:$A$105,'TCO TO BE - HW'!V$2,'Rozpočet - HW a licencie'!$C$3:$C$105,"SW pre HW",'Rozpočet - HW a licencie'!$G$3:$G$105,'TCO TO BE - HW'!$D12,'Rozpočet - HW a licencie'!$D$3:$D$105,'TCO TO BE - HW'!$B$15),)</f>
        <v>0</v>
      </c>
      <c r="W22" s="577">
        <f>IFERROR(SUMIFS('Rozpočet - HW a licencie'!$I$3:$I$105,'Rozpočet - HW a licencie'!$A$3:$A$105,'TCO TO BE - HW'!W$2,'Rozpočet - HW a licencie'!$C$3:$C$105,"HW",'Rozpočet - HW a licencie'!$G$3:$G$105,'TCO TO BE - HW'!$D12,'Rozpočet - HW a licencie'!$D$3:$D$105,'TCO TO BE - HW'!$B$15)+SUMIFS('Rozpočet - HW a licencie'!$I$3:$I$105,'Rozpočet - HW a licencie'!$A$3:$A$105,'TCO TO BE - HW'!W$2,'Rozpočet - HW a licencie'!$C$3:$C$105,"SW pre HW",'Rozpočet - HW a licencie'!$G$3:$G$105,'TCO TO BE - HW'!$D12,'Rozpočet - HW a licencie'!$D$3:$D$105,'TCO TO BE - HW'!$B$15),)</f>
        <v>0</v>
      </c>
      <c r="X22" s="577">
        <f>IFERROR(SUMIFS('Rozpočet - HW a licencie'!$I$3:$I$105,'Rozpočet - HW a licencie'!$A$3:$A$105,'TCO TO BE - HW'!X$2,'Rozpočet - HW a licencie'!$C$3:$C$105,"HW",'Rozpočet - HW a licencie'!$G$3:$G$105,'TCO TO BE - HW'!$D12,'Rozpočet - HW a licencie'!$D$3:$D$105,'TCO TO BE - HW'!$B$15)+SUMIFS('Rozpočet - HW a licencie'!$I$3:$I$105,'Rozpočet - HW a licencie'!$A$3:$A$105,'TCO TO BE - HW'!X$2,'Rozpočet - HW a licencie'!$C$3:$C$105,"SW pre HW",'Rozpočet - HW a licencie'!$G$3:$G$105,'TCO TO BE - HW'!$D12,'Rozpočet - HW a licencie'!$D$3:$D$105,'TCO TO BE - HW'!$B$15),)</f>
        <v>0</v>
      </c>
      <c r="Y22" s="577">
        <f>IFERROR(SUMIFS('Rozpočet - HW a licencie'!$I$3:$I$105,'Rozpočet - HW a licencie'!$A$3:$A$105,'TCO TO BE - HW'!Y$2,'Rozpočet - HW a licencie'!$C$3:$C$105,"HW",'Rozpočet - HW a licencie'!$G$3:$G$105,'TCO TO BE - HW'!$D12,'Rozpočet - HW a licencie'!$D$3:$D$105,'TCO TO BE - HW'!$B$15)+SUMIFS('Rozpočet - HW a licencie'!$I$3:$I$105,'Rozpočet - HW a licencie'!$A$3:$A$105,'TCO TO BE - HW'!Y$2,'Rozpočet - HW a licencie'!$C$3:$C$105,"SW pre HW",'Rozpočet - HW a licencie'!$G$3:$G$105,'TCO TO BE - HW'!$D12,'Rozpočet - HW a licencie'!$D$3:$D$105,'TCO TO BE - HW'!$B$15),)</f>
        <v>0</v>
      </c>
      <c r="Z22" s="577">
        <f>IFERROR(SUMIFS('Rozpočet - HW a licencie'!$I$3:$I$105,'Rozpočet - HW a licencie'!$A$3:$A$105,'TCO TO BE - HW'!Z$2,'Rozpočet - HW a licencie'!$C$3:$C$105,"HW",'Rozpočet - HW a licencie'!$G$3:$G$105,'TCO TO BE - HW'!$D12,'Rozpočet - HW a licencie'!$D$3:$D$105,'TCO TO BE - HW'!$B$15)+SUMIFS('Rozpočet - HW a licencie'!$I$3:$I$105,'Rozpočet - HW a licencie'!$A$3:$A$105,'TCO TO BE - HW'!Z$2,'Rozpočet - HW a licencie'!$C$3:$C$105,"SW pre HW",'Rozpočet - HW a licencie'!$G$3:$G$105,'TCO TO BE - HW'!$D12,'Rozpočet - HW a licencie'!$D$3:$D$105,'TCO TO BE - HW'!$B$15),)</f>
        <v>0</v>
      </c>
    </row>
    <row r="23" spans="1:26" outlineLevel="1">
      <c r="A23" s="824"/>
      <c r="B23" s="825"/>
      <c r="C23" s="825"/>
      <c r="D23" s="498">
        <v>9</v>
      </c>
      <c r="E23" s="68">
        <f t="shared" si="2"/>
        <v>0</v>
      </c>
      <c r="F23" s="577">
        <f>IFERROR(SUMIFS('Rozpočet - HW a licencie'!$I$3:$I$105,'Rozpočet - HW a licencie'!$A$3:$A$105,'TCO TO BE - HW'!F$2,'Rozpočet - HW a licencie'!$C$3:$C$105,"HW",'Rozpočet - HW a licencie'!$G$3:$G$105,'TCO TO BE - HW'!$D13,'Rozpočet - HW a licencie'!$D$3:$D$105,'TCO TO BE - HW'!$B$15)+SUMIFS('Rozpočet - HW a licencie'!$I$3:$I$105,'Rozpočet - HW a licencie'!$A$3:$A$105,'TCO TO BE - HW'!F$2,'Rozpočet - HW a licencie'!$C$3:$C$105,"SW pre HW",'Rozpočet - HW a licencie'!$G$3:$G$105,'TCO TO BE - HW'!$D13,'Rozpočet - HW a licencie'!$D$3:$D$105,'TCO TO BE - HW'!$B$15),)</f>
        <v>0</v>
      </c>
      <c r="G23" s="577">
        <f>IFERROR(SUMIFS('Rozpočet - HW a licencie'!$I$3:$I$105,'Rozpočet - HW a licencie'!$A$3:$A$105,'TCO TO BE - HW'!G$2,'Rozpočet - HW a licencie'!$C$3:$C$105,"HW",'Rozpočet - HW a licencie'!$G$3:$G$105,'TCO TO BE - HW'!$D13,'Rozpočet - HW a licencie'!$D$3:$D$105,'TCO TO BE - HW'!$B$15)+SUMIFS('Rozpočet - HW a licencie'!$I$3:$I$105,'Rozpočet - HW a licencie'!$A$3:$A$105,'TCO TO BE - HW'!G$2,'Rozpočet - HW a licencie'!$C$3:$C$105,"SW pre HW",'Rozpočet - HW a licencie'!$G$3:$G$105,'TCO TO BE - HW'!$D13,'Rozpočet - HW a licencie'!$D$3:$D$105,'TCO TO BE - HW'!$B$15),)</f>
        <v>0</v>
      </c>
      <c r="H23" s="577">
        <f>IFERROR(SUMIFS('Rozpočet - HW a licencie'!$I$3:$I$105,'Rozpočet - HW a licencie'!$A$3:$A$105,'TCO TO BE - HW'!H$2,'Rozpočet - HW a licencie'!$C$3:$C$105,"HW",'Rozpočet - HW a licencie'!$G$3:$G$105,'TCO TO BE - HW'!$D13,'Rozpočet - HW a licencie'!$D$3:$D$105,'TCO TO BE - HW'!$B$15)+SUMIFS('Rozpočet - HW a licencie'!$I$3:$I$105,'Rozpočet - HW a licencie'!$A$3:$A$105,'TCO TO BE - HW'!H$2,'Rozpočet - HW a licencie'!$C$3:$C$105,"SW pre HW",'Rozpočet - HW a licencie'!$G$3:$G$105,'TCO TO BE - HW'!$D13,'Rozpočet - HW a licencie'!$D$3:$D$105,'TCO TO BE - HW'!$B$15),)</f>
        <v>0</v>
      </c>
      <c r="I23" s="577">
        <f>IFERROR(SUMIFS('Rozpočet - HW a licencie'!$I$3:$I$105,'Rozpočet - HW a licencie'!$A$3:$A$105,'TCO TO BE - HW'!I$2,'Rozpočet - HW a licencie'!$C$3:$C$105,"HW",'Rozpočet - HW a licencie'!$G$3:$G$105,'TCO TO BE - HW'!$D13,'Rozpočet - HW a licencie'!$D$3:$D$105,'TCO TO BE - HW'!$B$15)+SUMIFS('Rozpočet - HW a licencie'!$I$3:$I$105,'Rozpočet - HW a licencie'!$A$3:$A$105,'TCO TO BE - HW'!I$2,'Rozpočet - HW a licencie'!$C$3:$C$105,"SW pre HW",'Rozpočet - HW a licencie'!$G$3:$G$105,'TCO TO BE - HW'!$D13,'Rozpočet - HW a licencie'!$D$3:$D$105,'TCO TO BE - HW'!$B$15),)</f>
        <v>0</v>
      </c>
      <c r="J23" s="577">
        <f>IFERROR(SUMIFS('Rozpočet - HW a licencie'!$I$3:$I$105,'Rozpočet - HW a licencie'!$A$3:$A$105,'TCO TO BE - HW'!J$2,'Rozpočet - HW a licencie'!$C$3:$C$105,"HW",'Rozpočet - HW a licencie'!$G$3:$G$105,'TCO TO BE - HW'!$D13,'Rozpočet - HW a licencie'!$D$3:$D$105,'TCO TO BE - HW'!$B$15)+SUMIFS('Rozpočet - HW a licencie'!$I$3:$I$105,'Rozpočet - HW a licencie'!$A$3:$A$105,'TCO TO BE - HW'!J$2,'Rozpočet - HW a licencie'!$C$3:$C$105,"SW pre HW",'Rozpočet - HW a licencie'!$G$3:$G$105,'TCO TO BE - HW'!$D13,'Rozpočet - HW a licencie'!$D$3:$D$105,'TCO TO BE - HW'!$B$15),)</f>
        <v>0</v>
      </c>
      <c r="K23" s="577">
        <f>IFERROR(SUMIFS('Rozpočet - HW a licencie'!$I$3:$I$105,'Rozpočet - HW a licencie'!$A$3:$A$105,'TCO TO BE - HW'!K$2,'Rozpočet - HW a licencie'!$C$3:$C$105,"HW",'Rozpočet - HW a licencie'!$G$3:$G$105,'TCO TO BE - HW'!$D13,'Rozpočet - HW a licencie'!$D$3:$D$105,'TCO TO BE - HW'!$B$15)+SUMIFS('Rozpočet - HW a licencie'!$I$3:$I$105,'Rozpočet - HW a licencie'!$A$3:$A$105,'TCO TO BE - HW'!K$2,'Rozpočet - HW a licencie'!$C$3:$C$105,"SW pre HW",'Rozpočet - HW a licencie'!$G$3:$G$105,'TCO TO BE - HW'!$D13,'Rozpočet - HW a licencie'!$D$3:$D$105,'TCO TO BE - HW'!$B$15),)</f>
        <v>0</v>
      </c>
      <c r="L23" s="577">
        <f>IFERROR(SUMIFS('Rozpočet - HW a licencie'!$I$3:$I$105,'Rozpočet - HW a licencie'!$A$3:$A$105,'TCO TO BE - HW'!L$2,'Rozpočet - HW a licencie'!$C$3:$C$105,"HW",'Rozpočet - HW a licencie'!$G$3:$G$105,'TCO TO BE - HW'!$D13,'Rozpočet - HW a licencie'!$D$3:$D$105,'TCO TO BE - HW'!$B$15)+SUMIFS('Rozpočet - HW a licencie'!$I$3:$I$105,'Rozpočet - HW a licencie'!$A$3:$A$105,'TCO TO BE - HW'!L$2,'Rozpočet - HW a licencie'!$C$3:$C$105,"SW pre HW",'Rozpočet - HW a licencie'!$G$3:$G$105,'TCO TO BE - HW'!$D13,'Rozpočet - HW a licencie'!$D$3:$D$105,'TCO TO BE - HW'!$B$15),)</f>
        <v>0</v>
      </c>
      <c r="M23" s="577">
        <f>IFERROR(SUMIFS('Rozpočet - HW a licencie'!$I$3:$I$105,'Rozpočet - HW a licencie'!$A$3:$A$105,'TCO TO BE - HW'!M$2,'Rozpočet - HW a licencie'!$C$3:$C$105,"HW",'Rozpočet - HW a licencie'!$G$3:$G$105,'TCO TO BE - HW'!$D13,'Rozpočet - HW a licencie'!$D$3:$D$105,'TCO TO BE - HW'!$B$15)+SUMIFS('Rozpočet - HW a licencie'!$I$3:$I$105,'Rozpočet - HW a licencie'!$A$3:$A$105,'TCO TO BE - HW'!M$2,'Rozpočet - HW a licencie'!$C$3:$C$105,"SW pre HW",'Rozpočet - HW a licencie'!$G$3:$G$105,'TCO TO BE - HW'!$D13,'Rozpočet - HW a licencie'!$D$3:$D$105,'TCO TO BE - HW'!$B$15),)</f>
        <v>0</v>
      </c>
      <c r="N23" s="577">
        <f>IFERROR(SUMIFS('Rozpočet - HW a licencie'!$I$3:$I$105,'Rozpočet - HW a licencie'!$A$3:$A$105,'TCO TO BE - HW'!N$2,'Rozpočet - HW a licencie'!$C$3:$C$105,"HW",'Rozpočet - HW a licencie'!$G$3:$G$105,'TCO TO BE - HW'!$D13,'Rozpočet - HW a licencie'!$D$3:$D$105,'TCO TO BE - HW'!$B$15)+SUMIFS('Rozpočet - HW a licencie'!$I$3:$I$105,'Rozpočet - HW a licencie'!$A$3:$A$105,'TCO TO BE - HW'!N$2,'Rozpočet - HW a licencie'!$C$3:$C$105,"SW pre HW",'Rozpočet - HW a licencie'!$G$3:$G$105,'TCO TO BE - HW'!$D13,'Rozpočet - HW a licencie'!$D$3:$D$105,'TCO TO BE - HW'!$B$15),)</f>
        <v>0</v>
      </c>
      <c r="O23" s="577">
        <f>IFERROR(SUMIFS('Rozpočet - HW a licencie'!$I$3:$I$105,'Rozpočet - HW a licencie'!$A$3:$A$105,'TCO TO BE - HW'!O$2,'Rozpočet - HW a licencie'!$C$3:$C$105,"HW",'Rozpočet - HW a licencie'!$G$3:$G$105,'TCO TO BE - HW'!$D13,'Rozpočet - HW a licencie'!$D$3:$D$105,'TCO TO BE - HW'!$B$15)+SUMIFS('Rozpočet - HW a licencie'!$I$3:$I$105,'Rozpočet - HW a licencie'!$A$3:$A$105,'TCO TO BE - HW'!O$2,'Rozpočet - HW a licencie'!$C$3:$C$105,"SW pre HW",'Rozpočet - HW a licencie'!$G$3:$G$105,'TCO TO BE - HW'!$D13,'Rozpočet - HW a licencie'!$D$3:$D$105,'TCO TO BE - HW'!$B$15),)</f>
        <v>0</v>
      </c>
      <c r="P23" s="577">
        <f>IFERROR(SUMIFS('Rozpočet - HW a licencie'!$I$3:$I$105,'Rozpočet - HW a licencie'!$A$3:$A$105,'TCO TO BE - HW'!P$2,'Rozpočet - HW a licencie'!$C$3:$C$105,"HW",'Rozpočet - HW a licencie'!$G$3:$G$105,'TCO TO BE - HW'!$D13,'Rozpočet - HW a licencie'!$D$3:$D$105,'TCO TO BE - HW'!$B$15)+SUMIFS('Rozpočet - HW a licencie'!$I$3:$I$105,'Rozpočet - HW a licencie'!$A$3:$A$105,'TCO TO BE - HW'!P$2,'Rozpočet - HW a licencie'!$C$3:$C$105,"SW pre HW",'Rozpočet - HW a licencie'!$G$3:$G$105,'TCO TO BE - HW'!$D13,'Rozpočet - HW a licencie'!$D$3:$D$105,'TCO TO BE - HW'!$B$15),)</f>
        <v>0</v>
      </c>
      <c r="Q23" s="577">
        <f>IFERROR(SUMIFS('Rozpočet - HW a licencie'!$I$3:$I$105,'Rozpočet - HW a licencie'!$A$3:$A$105,'TCO TO BE - HW'!Q$2,'Rozpočet - HW a licencie'!$C$3:$C$105,"HW",'Rozpočet - HW a licencie'!$G$3:$G$105,'TCO TO BE - HW'!$D13,'Rozpočet - HW a licencie'!$D$3:$D$105,'TCO TO BE - HW'!$B$15)+SUMIFS('Rozpočet - HW a licencie'!$I$3:$I$105,'Rozpočet - HW a licencie'!$A$3:$A$105,'TCO TO BE - HW'!Q$2,'Rozpočet - HW a licencie'!$C$3:$C$105,"SW pre HW",'Rozpočet - HW a licencie'!$G$3:$G$105,'TCO TO BE - HW'!$D13,'Rozpočet - HW a licencie'!$D$3:$D$105,'TCO TO BE - HW'!$B$15),)</f>
        <v>0</v>
      </c>
      <c r="R23" s="577">
        <f>IFERROR(SUMIFS('Rozpočet - HW a licencie'!$I$3:$I$105,'Rozpočet - HW a licencie'!$A$3:$A$105,'TCO TO BE - HW'!R$2,'Rozpočet - HW a licencie'!$C$3:$C$105,"HW",'Rozpočet - HW a licencie'!$G$3:$G$105,'TCO TO BE - HW'!$D13,'Rozpočet - HW a licencie'!$D$3:$D$105,'TCO TO BE - HW'!$B$15)+SUMIFS('Rozpočet - HW a licencie'!$I$3:$I$105,'Rozpočet - HW a licencie'!$A$3:$A$105,'TCO TO BE - HW'!R$2,'Rozpočet - HW a licencie'!$C$3:$C$105,"SW pre HW",'Rozpočet - HW a licencie'!$G$3:$G$105,'TCO TO BE - HW'!$D13,'Rozpočet - HW a licencie'!$D$3:$D$105,'TCO TO BE - HW'!$B$15),)</f>
        <v>0</v>
      </c>
      <c r="S23" s="577">
        <f>IFERROR(SUMIFS('Rozpočet - HW a licencie'!$I$3:$I$105,'Rozpočet - HW a licencie'!$A$3:$A$105,'TCO TO BE - HW'!S$2,'Rozpočet - HW a licencie'!$C$3:$C$105,"HW",'Rozpočet - HW a licencie'!$G$3:$G$105,'TCO TO BE - HW'!$D13,'Rozpočet - HW a licencie'!$D$3:$D$105,'TCO TO BE - HW'!$B$15)+SUMIFS('Rozpočet - HW a licencie'!$I$3:$I$105,'Rozpočet - HW a licencie'!$A$3:$A$105,'TCO TO BE - HW'!S$2,'Rozpočet - HW a licencie'!$C$3:$C$105,"SW pre HW",'Rozpočet - HW a licencie'!$G$3:$G$105,'TCO TO BE - HW'!$D13,'Rozpočet - HW a licencie'!$D$3:$D$105,'TCO TO BE - HW'!$B$15),)</f>
        <v>0</v>
      </c>
      <c r="T23" s="577">
        <f>IFERROR(SUMIFS('Rozpočet - HW a licencie'!$I$3:$I$105,'Rozpočet - HW a licencie'!$A$3:$A$105,'TCO TO BE - HW'!T$2,'Rozpočet - HW a licencie'!$C$3:$C$105,"HW",'Rozpočet - HW a licencie'!$G$3:$G$105,'TCO TO BE - HW'!$D13,'Rozpočet - HW a licencie'!$D$3:$D$105,'TCO TO BE - HW'!$B$15)+SUMIFS('Rozpočet - HW a licencie'!$I$3:$I$105,'Rozpočet - HW a licencie'!$A$3:$A$105,'TCO TO BE - HW'!T$2,'Rozpočet - HW a licencie'!$C$3:$C$105,"SW pre HW",'Rozpočet - HW a licencie'!$G$3:$G$105,'TCO TO BE - HW'!$D13,'Rozpočet - HW a licencie'!$D$3:$D$105,'TCO TO BE - HW'!$B$15),)</f>
        <v>0</v>
      </c>
      <c r="U23" s="577">
        <f>IFERROR(SUMIFS('Rozpočet - HW a licencie'!$I$3:$I$105,'Rozpočet - HW a licencie'!$A$3:$A$105,'TCO TO BE - HW'!U$2,'Rozpočet - HW a licencie'!$C$3:$C$105,"HW",'Rozpočet - HW a licencie'!$G$3:$G$105,'TCO TO BE - HW'!$D13,'Rozpočet - HW a licencie'!$D$3:$D$105,'TCO TO BE - HW'!$B$15)+SUMIFS('Rozpočet - HW a licencie'!$I$3:$I$105,'Rozpočet - HW a licencie'!$A$3:$A$105,'TCO TO BE - HW'!U$2,'Rozpočet - HW a licencie'!$C$3:$C$105,"SW pre HW",'Rozpočet - HW a licencie'!$G$3:$G$105,'TCO TO BE - HW'!$D13,'Rozpočet - HW a licencie'!$D$3:$D$105,'TCO TO BE - HW'!$B$15),)</f>
        <v>0</v>
      </c>
      <c r="V23" s="577">
        <f>IFERROR(SUMIFS('Rozpočet - HW a licencie'!$I$3:$I$105,'Rozpočet - HW a licencie'!$A$3:$A$105,'TCO TO BE - HW'!V$2,'Rozpočet - HW a licencie'!$C$3:$C$105,"HW",'Rozpočet - HW a licencie'!$G$3:$G$105,'TCO TO BE - HW'!$D13,'Rozpočet - HW a licencie'!$D$3:$D$105,'TCO TO BE - HW'!$B$15)+SUMIFS('Rozpočet - HW a licencie'!$I$3:$I$105,'Rozpočet - HW a licencie'!$A$3:$A$105,'TCO TO BE - HW'!V$2,'Rozpočet - HW a licencie'!$C$3:$C$105,"SW pre HW",'Rozpočet - HW a licencie'!$G$3:$G$105,'TCO TO BE - HW'!$D13,'Rozpočet - HW a licencie'!$D$3:$D$105,'TCO TO BE - HW'!$B$15),)</f>
        <v>0</v>
      </c>
      <c r="W23" s="577">
        <f>IFERROR(SUMIFS('Rozpočet - HW a licencie'!$I$3:$I$105,'Rozpočet - HW a licencie'!$A$3:$A$105,'TCO TO BE - HW'!W$2,'Rozpočet - HW a licencie'!$C$3:$C$105,"HW",'Rozpočet - HW a licencie'!$G$3:$G$105,'TCO TO BE - HW'!$D13,'Rozpočet - HW a licencie'!$D$3:$D$105,'TCO TO BE - HW'!$B$15)+SUMIFS('Rozpočet - HW a licencie'!$I$3:$I$105,'Rozpočet - HW a licencie'!$A$3:$A$105,'TCO TO BE - HW'!W$2,'Rozpočet - HW a licencie'!$C$3:$C$105,"SW pre HW",'Rozpočet - HW a licencie'!$G$3:$G$105,'TCO TO BE - HW'!$D13,'Rozpočet - HW a licencie'!$D$3:$D$105,'TCO TO BE - HW'!$B$15),)</f>
        <v>0</v>
      </c>
      <c r="X23" s="577">
        <f>IFERROR(SUMIFS('Rozpočet - HW a licencie'!$I$3:$I$105,'Rozpočet - HW a licencie'!$A$3:$A$105,'TCO TO BE - HW'!X$2,'Rozpočet - HW a licencie'!$C$3:$C$105,"HW",'Rozpočet - HW a licencie'!$G$3:$G$105,'TCO TO BE - HW'!$D13,'Rozpočet - HW a licencie'!$D$3:$D$105,'TCO TO BE - HW'!$B$15)+SUMIFS('Rozpočet - HW a licencie'!$I$3:$I$105,'Rozpočet - HW a licencie'!$A$3:$A$105,'TCO TO BE - HW'!X$2,'Rozpočet - HW a licencie'!$C$3:$C$105,"SW pre HW",'Rozpočet - HW a licencie'!$G$3:$G$105,'TCO TO BE - HW'!$D13,'Rozpočet - HW a licencie'!$D$3:$D$105,'TCO TO BE - HW'!$B$15),)</f>
        <v>0</v>
      </c>
      <c r="Y23" s="577">
        <f>IFERROR(SUMIFS('Rozpočet - HW a licencie'!$I$3:$I$105,'Rozpočet - HW a licencie'!$A$3:$A$105,'TCO TO BE - HW'!Y$2,'Rozpočet - HW a licencie'!$C$3:$C$105,"HW",'Rozpočet - HW a licencie'!$G$3:$G$105,'TCO TO BE - HW'!$D13,'Rozpočet - HW a licencie'!$D$3:$D$105,'TCO TO BE - HW'!$B$15)+SUMIFS('Rozpočet - HW a licencie'!$I$3:$I$105,'Rozpočet - HW a licencie'!$A$3:$A$105,'TCO TO BE - HW'!Y$2,'Rozpočet - HW a licencie'!$C$3:$C$105,"SW pre HW",'Rozpočet - HW a licencie'!$G$3:$G$105,'TCO TO BE - HW'!$D13,'Rozpočet - HW a licencie'!$D$3:$D$105,'TCO TO BE - HW'!$B$15),)</f>
        <v>0</v>
      </c>
      <c r="Z23" s="577">
        <f>IFERROR(SUMIFS('Rozpočet - HW a licencie'!$I$3:$I$105,'Rozpočet - HW a licencie'!$A$3:$A$105,'TCO TO BE - HW'!Z$2,'Rozpočet - HW a licencie'!$C$3:$C$105,"HW",'Rozpočet - HW a licencie'!$G$3:$G$105,'TCO TO BE - HW'!$D13,'Rozpočet - HW a licencie'!$D$3:$D$105,'TCO TO BE - HW'!$B$15)+SUMIFS('Rozpočet - HW a licencie'!$I$3:$I$105,'Rozpočet - HW a licencie'!$A$3:$A$105,'TCO TO BE - HW'!Z$2,'Rozpočet - HW a licencie'!$C$3:$C$105,"SW pre HW",'Rozpočet - HW a licencie'!$G$3:$G$105,'TCO TO BE - HW'!$D13,'Rozpočet - HW a licencie'!$D$3:$D$105,'TCO TO BE - HW'!$B$15),)</f>
        <v>0</v>
      </c>
    </row>
    <row r="24" spans="1:26" ht="15.75" outlineLevel="1" thickBot="1">
      <c r="A24" s="824"/>
      <c r="B24" s="825"/>
      <c r="C24" s="825"/>
      <c r="D24" s="499">
        <v>10</v>
      </c>
      <c r="E24" s="69">
        <f t="shared" si="2"/>
        <v>0</v>
      </c>
      <c r="F24" s="578">
        <f>IFERROR(SUMIFS('Rozpočet - HW a licencie'!$I$3:$I$105,'Rozpočet - HW a licencie'!$A$3:$A$105,'TCO TO BE - HW'!F$2,'Rozpočet - HW a licencie'!$C$3:$C$105,"HW",'Rozpočet - HW a licencie'!$G$3:$G$105,'TCO TO BE - HW'!$D14,'Rozpočet - HW a licencie'!$D$3:$D$105,'TCO TO BE - HW'!$B$15)+SUMIFS('Rozpočet - HW a licencie'!$I$3:$I$105,'Rozpočet - HW a licencie'!$A$3:$A$105,'TCO TO BE - HW'!F$2,'Rozpočet - HW a licencie'!$C$3:$C$105,"SW pre HW",'Rozpočet - HW a licencie'!$G$3:$G$105,'TCO TO BE - HW'!$D14,'Rozpočet - HW a licencie'!$D$3:$D$105,'TCO TO BE - HW'!$B$15),)</f>
        <v>0</v>
      </c>
      <c r="G24" s="578">
        <f>IFERROR(SUMIFS('Rozpočet - HW a licencie'!$I$3:$I$105,'Rozpočet - HW a licencie'!$A$3:$A$105,'TCO TO BE - HW'!G$2,'Rozpočet - HW a licencie'!$C$3:$C$105,"HW",'Rozpočet - HW a licencie'!$G$3:$G$105,'TCO TO BE - HW'!$D14,'Rozpočet - HW a licencie'!$D$3:$D$105,'TCO TO BE - HW'!$B$15)+SUMIFS('Rozpočet - HW a licencie'!$I$3:$I$105,'Rozpočet - HW a licencie'!$A$3:$A$105,'TCO TO BE - HW'!G$2,'Rozpočet - HW a licencie'!$C$3:$C$105,"SW pre HW",'Rozpočet - HW a licencie'!$G$3:$G$105,'TCO TO BE - HW'!$D14,'Rozpočet - HW a licencie'!$D$3:$D$105,'TCO TO BE - HW'!$B$15),)</f>
        <v>0</v>
      </c>
      <c r="H24" s="578">
        <f>IFERROR(SUMIFS('Rozpočet - HW a licencie'!$I$3:$I$105,'Rozpočet - HW a licencie'!$A$3:$A$105,'TCO TO BE - HW'!H$2,'Rozpočet - HW a licencie'!$C$3:$C$105,"HW",'Rozpočet - HW a licencie'!$G$3:$G$105,'TCO TO BE - HW'!$D14,'Rozpočet - HW a licencie'!$D$3:$D$105,'TCO TO BE - HW'!$B$15)+SUMIFS('Rozpočet - HW a licencie'!$I$3:$I$105,'Rozpočet - HW a licencie'!$A$3:$A$105,'TCO TO BE - HW'!H$2,'Rozpočet - HW a licencie'!$C$3:$C$105,"SW pre HW",'Rozpočet - HW a licencie'!$G$3:$G$105,'TCO TO BE - HW'!$D14,'Rozpočet - HW a licencie'!$D$3:$D$105,'TCO TO BE - HW'!$B$15),)</f>
        <v>0</v>
      </c>
      <c r="I24" s="578">
        <f>IFERROR(SUMIFS('Rozpočet - HW a licencie'!$I$3:$I$105,'Rozpočet - HW a licencie'!$A$3:$A$105,'TCO TO BE - HW'!I$2,'Rozpočet - HW a licencie'!$C$3:$C$105,"HW",'Rozpočet - HW a licencie'!$G$3:$G$105,'TCO TO BE - HW'!$D14,'Rozpočet - HW a licencie'!$D$3:$D$105,'TCO TO BE - HW'!$B$15)+SUMIFS('Rozpočet - HW a licencie'!$I$3:$I$105,'Rozpočet - HW a licencie'!$A$3:$A$105,'TCO TO BE - HW'!I$2,'Rozpočet - HW a licencie'!$C$3:$C$105,"SW pre HW",'Rozpočet - HW a licencie'!$G$3:$G$105,'TCO TO BE - HW'!$D14,'Rozpočet - HW a licencie'!$D$3:$D$105,'TCO TO BE - HW'!$B$15),)</f>
        <v>0</v>
      </c>
      <c r="J24" s="578">
        <f>IFERROR(SUMIFS('Rozpočet - HW a licencie'!$I$3:$I$105,'Rozpočet - HW a licencie'!$A$3:$A$105,'TCO TO BE - HW'!J$2,'Rozpočet - HW a licencie'!$C$3:$C$105,"HW",'Rozpočet - HW a licencie'!$G$3:$G$105,'TCO TO BE - HW'!$D14,'Rozpočet - HW a licencie'!$D$3:$D$105,'TCO TO BE - HW'!$B$15)+SUMIFS('Rozpočet - HW a licencie'!$I$3:$I$105,'Rozpočet - HW a licencie'!$A$3:$A$105,'TCO TO BE - HW'!J$2,'Rozpočet - HW a licencie'!$C$3:$C$105,"SW pre HW",'Rozpočet - HW a licencie'!$G$3:$G$105,'TCO TO BE - HW'!$D14,'Rozpočet - HW a licencie'!$D$3:$D$105,'TCO TO BE - HW'!$B$15),)</f>
        <v>0</v>
      </c>
      <c r="K24" s="578">
        <f>IFERROR(SUMIFS('Rozpočet - HW a licencie'!$I$3:$I$105,'Rozpočet - HW a licencie'!$A$3:$A$105,'TCO TO BE - HW'!K$2,'Rozpočet - HW a licencie'!$C$3:$C$105,"HW",'Rozpočet - HW a licencie'!$G$3:$G$105,'TCO TO BE - HW'!$D14,'Rozpočet - HW a licencie'!$D$3:$D$105,'TCO TO BE - HW'!$B$15)+SUMIFS('Rozpočet - HW a licencie'!$I$3:$I$105,'Rozpočet - HW a licencie'!$A$3:$A$105,'TCO TO BE - HW'!K$2,'Rozpočet - HW a licencie'!$C$3:$C$105,"SW pre HW",'Rozpočet - HW a licencie'!$G$3:$G$105,'TCO TO BE - HW'!$D14,'Rozpočet - HW a licencie'!$D$3:$D$105,'TCO TO BE - HW'!$B$15),)</f>
        <v>0</v>
      </c>
      <c r="L24" s="578">
        <f>IFERROR(SUMIFS('Rozpočet - HW a licencie'!$I$3:$I$105,'Rozpočet - HW a licencie'!$A$3:$A$105,'TCO TO BE - HW'!L$2,'Rozpočet - HW a licencie'!$C$3:$C$105,"HW",'Rozpočet - HW a licencie'!$G$3:$G$105,'TCO TO BE - HW'!$D14,'Rozpočet - HW a licencie'!$D$3:$D$105,'TCO TO BE - HW'!$B$15)+SUMIFS('Rozpočet - HW a licencie'!$I$3:$I$105,'Rozpočet - HW a licencie'!$A$3:$A$105,'TCO TO BE - HW'!L$2,'Rozpočet - HW a licencie'!$C$3:$C$105,"SW pre HW",'Rozpočet - HW a licencie'!$G$3:$G$105,'TCO TO BE - HW'!$D14,'Rozpočet - HW a licencie'!$D$3:$D$105,'TCO TO BE - HW'!$B$15),)</f>
        <v>0</v>
      </c>
      <c r="M24" s="578">
        <f>IFERROR(SUMIFS('Rozpočet - HW a licencie'!$I$3:$I$105,'Rozpočet - HW a licencie'!$A$3:$A$105,'TCO TO BE - HW'!M$2,'Rozpočet - HW a licencie'!$C$3:$C$105,"HW",'Rozpočet - HW a licencie'!$G$3:$G$105,'TCO TO BE - HW'!$D14,'Rozpočet - HW a licencie'!$D$3:$D$105,'TCO TO BE - HW'!$B$15)+SUMIFS('Rozpočet - HW a licencie'!$I$3:$I$105,'Rozpočet - HW a licencie'!$A$3:$A$105,'TCO TO BE - HW'!M$2,'Rozpočet - HW a licencie'!$C$3:$C$105,"SW pre HW",'Rozpočet - HW a licencie'!$G$3:$G$105,'TCO TO BE - HW'!$D14,'Rozpočet - HW a licencie'!$D$3:$D$105,'TCO TO BE - HW'!$B$15),)</f>
        <v>0</v>
      </c>
      <c r="N24" s="578">
        <f>IFERROR(SUMIFS('Rozpočet - HW a licencie'!$I$3:$I$105,'Rozpočet - HW a licencie'!$A$3:$A$105,'TCO TO BE - HW'!N$2,'Rozpočet - HW a licencie'!$C$3:$C$105,"HW",'Rozpočet - HW a licencie'!$G$3:$G$105,'TCO TO BE - HW'!$D14,'Rozpočet - HW a licencie'!$D$3:$D$105,'TCO TO BE - HW'!$B$15)+SUMIFS('Rozpočet - HW a licencie'!$I$3:$I$105,'Rozpočet - HW a licencie'!$A$3:$A$105,'TCO TO BE - HW'!N$2,'Rozpočet - HW a licencie'!$C$3:$C$105,"SW pre HW",'Rozpočet - HW a licencie'!$G$3:$G$105,'TCO TO BE - HW'!$D14,'Rozpočet - HW a licencie'!$D$3:$D$105,'TCO TO BE - HW'!$B$15),)</f>
        <v>0</v>
      </c>
      <c r="O24" s="578">
        <f>IFERROR(SUMIFS('Rozpočet - HW a licencie'!$I$3:$I$105,'Rozpočet - HW a licencie'!$A$3:$A$105,'TCO TO BE - HW'!O$2,'Rozpočet - HW a licencie'!$C$3:$C$105,"HW",'Rozpočet - HW a licencie'!$G$3:$G$105,'TCO TO BE - HW'!$D14,'Rozpočet - HW a licencie'!$D$3:$D$105,'TCO TO BE - HW'!$B$15)+SUMIFS('Rozpočet - HW a licencie'!$I$3:$I$105,'Rozpočet - HW a licencie'!$A$3:$A$105,'TCO TO BE - HW'!O$2,'Rozpočet - HW a licencie'!$C$3:$C$105,"SW pre HW",'Rozpočet - HW a licencie'!$G$3:$G$105,'TCO TO BE - HW'!$D14,'Rozpočet - HW a licencie'!$D$3:$D$105,'TCO TO BE - HW'!$B$15),)</f>
        <v>0</v>
      </c>
      <c r="P24" s="578">
        <f>IFERROR(SUMIFS('Rozpočet - HW a licencie'!$I$3:$I$105,'Rozpočet - HW a licencie'!$A$3:$A$105,'TCO TO BE - HW'!P$2,'Rozpočet - HW a licencie'!$C$3:$C$105,"HW",'Rozpočet - HW a licencie'!$G$3:$G$105,'TCO TO BE - HW'!$D14,'Rozpočet - HW a licencie'!$D$3:$D$105,'TCO TO BE - HW'!$B$15)+SUMIFS('Rozpočet - HW a licencie'!$I$3:$I$105,'Rozpočet - HW a licencie'!$A$3:$A$105,'TCO TO BE - HW'!P$2,'Rozpočet - HW a licencie'!$C$3:$C$105,"SW pre HW",'Rozpočet - HW a licencie'!$G$3:$G$105,'TCO TO BE - HW'!$D14,'Rozpočet - HW a licencie'!$D$3:$D$105,'TCO TO BE - HW'!$B$15),)</f>
        <v>0</v>
      </c>
      <c r="Q24" s="578">
        <f>IFERROR(SUMIFS('Rozpočet - HW a licencie'!$I$3:$I$105,'Rozpočet - HW a licencie'!$A$3:$A$105,'TCO TO BE - HW'!Q$2,'Rozpočet - HW a licencie'!$C$3:$C$105,"HW",'Rozpočet - HW a licencie'!$G$3:$G$105,'TCO TO BE - HW'!$D14,'Rozpočet - HW a licencie'!$D$3:$D$105,'TCO TO BE - HW'!$B$15)+SUMIFS('Rozpočet - HW a licencie'!$I$3:$I$105,'Rozpočet - HW a licencie'!$A$3:$A$105,'TCO TO BE - HW'!Q$2,'Rozpočet - HW a licencie'!$C$3:$C$105,"SW pre HW",'Rozpočet - HW a licencie'!$G$3:$G$105,'TCO TO BE - HW'!$D14,'Rozpočet - HW a licencie'!$D$3:$D$105,'TCO TO BE - HW'!$B$15),)</f>
        <v>0</v>
      </c>
      <c r="R24" s="578">
        <f>IFERROR(SUMIFS('Rozpočet - HW a licencie'!$I$3:$I$105,'Rozpočet - HW a licencie'!$A$3:$A$105,'TCO TO BE - HW'!R$2,'Rozpočet - HW a licencie'!$C$3:$C$105,"HW",'Rozpočet - HW a licencie'!$G$3:$G$105,'TCO TO BE - HW'!$D14,'Rozpočet - HW a licencie'!$D$3:$D$105,'TCO TO BE - HW'!$B$15)+SUMIFS('Rozpočet - HW a licencie'!$I$3:$I$105,'Rozpočet - HW a licencie'!$A$3:$A$105,'TCO TO BE - HW'!R$2,'Rozpočet - HW a licencie'!$C$3:$C$105,"SW pre HW",'Rozpočet - HW a licencie'!$G$3:$G$105,'TCO TO BE - HW'!$D14,'Rozpočet - HW a licencie'!$D$3:$D$105,'TCO TO BE - HW'!$B$15),)</f>
        <v>0</v>
      </c>
      <c r="S24" s="578">
        <f>IFERROR(SUMIFS('Rozpočet - HW a licencie'!$I$3:$I$105,'Rozpočet - HW a licencie'!$A$3:$A$105,'TCO TO BE - HW'!S$2,'Rozpočet - HW a licencie'!$C$3:$C$105,"HW",'Rozpočet - HW a licencie'!$G$3:$G$105,'TCO TO BE - HW'!$D14,'Rozpočet - HW a licencie'!$D$3:$D$105,'TCO TO BE - HW'!$B$15)+SUMIFS('Rozpočet - HW a licencie'!$I$3:$I$105,'Rozpočet - HW a licencie'!$A$3:$A$105,'TCO TO BE - HW'!S$2,'Rozpočet - HW a licencie'!$C$3:$C$105,"SW pre HW",'Rozpočet - HW a licencie'!$G$3:$G$105,'TCO TO BE - HW'!$D14,'Rozpočet - HW a licencie'!$D$3:$D$105,'TCO TO BE - HW'!$B$15),)</f>
        <v>0</v>
      </c>
      <c r="T24" s="578">
        <f>IFERROR(SUMIFS('Rozpočet - HW a licencie'!$I$3:$I$105,'Rozpočet - HW a licencie'!$A$3:$A$105,'TCO TO BE - HW'!T$2,'Rozpočet - HW a licencie'!$C$3:$C$105,"HW",'Rozpočet - HW a licencie'!$G$3:$G$105,'TCO TO BE - HW'!$D14,'Rozpočet - HW a licencie'!$D$3:$D$105,'TCO TO BE - HW'!$B$15)+SUMIFS('Rozpočet - HW a licencie'!$I$3:$I$105,'Rozpočet - HW a licencie'!$A$3:$A$105,'TCO TO BE - HW'!T$2,'Rozpočet - HW a licencie'!$C$3:$C$105,"SW pre HW",'Rozpočet - HW a licencie'!$G$3:$G$105,'TCO TO BE - HW'!$D14,'Rozpočet - HW a licencie'!$D$3:$D$105,'TCO TO BE - HW'!$B$15),)</f>
        <v>0</v>
      </c>
      <c r="U24" s="578">
        <f>IFERROR(SUMIFS('Rozpočet - HW a licencie'!$I$3:$I$105,'Rozpočet - HW a licencie'!$A$3:$A$105,'TCO TO BE - HW'!U$2,'Rozpočet - HW a licencie'!$C$3:$C$105,"HW",'Rozpočet - HW a licencie'!$G$3:$G$105,'TCO TO BE - HW'!$D14,'Rozpočet - HW a licencie'!$D$3:$D$105,'TCO TO BE - HW'!$B$15)+SUMIFS('Rozpočet - HW a licencie'!$I$3:$I$105,'Rozpočet - HW a licencie'!$A$3:$A$105,'TCO TO BE - HW'!U$2,'Rozpočet - HW a licencie'!$C$3:$C$105,"SW pre HW",'Rozpočet - HW a licencie'!$G$3:$G$105,'TCO TO BE - HW'!$D14,'Rozpočet - HW a licencie'!$D$3:$D$105,'TCO TO BE - HW'!$B$15),)</f>
        <v>0</v>
      </c>
      <c r="V24" s="578">
        <f>IFERROR(SUMIFS('Rozpočet - HW a licencie'!$I$3:$I$105,'Rozpočet - HW a licencie'!$A$3:$A$105,'TCO TO BE - HW'!V$2,'Rozpočet - HW a licencie'!$C$3:$C$105,"HW",'Rozpočet - HW a licencie'!$G$3:$G$105,'TCO TO BE - HW'!$D14,'Rozpočet - HW a licencie'!$D$3:$D$105,'TCO TO BE - HW'!$B$15)+SUMIFS('Rozpočet - HW a licencie'!$I$3:$I$105,'Rozpočet - HW a licencie'!$A$3:$A$105,'TCO TO BE - HW'!V$2,'Rozpočet - HW a licencie'!$C$3:$C$105,"SW pre HW",'Rozpočet - HW a licencie'!$G$3:$G$105,'TCO TO BE - HW'!$D14,'Rozpočet - HW a licencie'!$D$3:$D$105,'TCO TO BE - HW'!$B$15),)</f>
        <v>0</v>
      </c>
      <c r="W24" s="578">
        <f>IFERROR(SUMIFS('Rozpočet - HW a licencie'!$I$3:$I$105,'Rozpočet - HW a licencie'!$A$3:$A$105,'TCO TO BE - HW'!W$2,'Rozpočet - HW a licencie'!$C$3:$C$105,"HW",'Rozpočet - HW a licencie'!$G$3:$G$105,'TCO TO BE - HW'!$D14,'Rozpočet - HW a licencie'!$D$3:$D$105,'TCO TO BE - HW'!$B$15)+SUMIFS('Rozpočet - HW a licencie'!$I$3:$I$105,'Rozpočet - HW a licencie'!$A$3:$A$105,'TCO TO BE - HW'!W$2,'Rozpočet - HW a licencie'!$C$3:$C$105,"SW pre HW",'Rozpočet - HW a licencie'!$G$3:$G$105,'TCO TO BE - HW'!$D14,'Rozpočet - HW a licencie'!$D$3:$D$105,'TCO TO BE - HW'!$B$15),)</f>
        <v>0</v>
      </c>
      <c r="X24" s="578">
        <f>IFERROR(SUMIFS('Rozpočet - HW a licencie'!$I$3:$I$105,'Rozpočet - HW a licencie'!$A$3:$A$105,'TCO TO BE - HW'!X$2,'Rozpočet - HW a licencie'!$C$3:$C$105,"HW",'Rozpočet - HW a licencie'!$G$3:$G$105,'TCO TO BE - HW'!$D14,'Rozpočet - HW a licencie'!$D$3:$D$105,'TCO TO BE - HW'!$B$15)+SUMIFS('Rozpočet - HW a licencie'!$I$3:$I$105,'Rozpočet - HW a licencie'!$A$3:$A$105,'TCO TO BE - HW'!X$2,'Rozpočet - HW a licencie'!$C$3:$C$105,"SW pre HW",'Rozpočet - HW a licencie'!$G$3:$G$105,'TCO TO BE - HW'!$D14,'Rozpočet - HW a licencie'!$D$3:$D$105,'TCO TO BE - HW'!$B$15),)</f>
        <v>0</v>
      </c>
      <c r="Y24" s="578">
        <f>IFERROR(SUMIFS('Rozpočet - HW a licencie'!$I$3:$I$105,'Rozpočet - HW a licencie'!$A$3:$A$105,'TCO TO BE - HW'!Y$2,'Rozpočet - HW a licencie'!$C$3:$C$105,"HW",'Rozpočet - HW a licencie'!$G$3:$G$105,'TCO TO BE - HW'!$D14,'Rozpočet - HW a licencie'!$D$3:$D$105,'TCO TO BE - HW'!$B$15)+SUMIFS('Rozpočet - HW a licencie'!$I$3:$I$105,'Rozpočet - HW a licencie'!$A$3:$A$105,'TCO TO BE - HW'!Y$2,'Rozpočet - HW a licencie'!$C$3:$C$105,"SW pre HW",'Rozpočet - HW a licencie'!$G$3:$G$105,'TCO TO BE - HW'!$D14,'Rozpočet - HW a licencie'!$D$3:$D$105,'TCO TO BE - HW'!$B$15),)</f>
        <v>0</v>
      </c>
      <c r="Z24" s="578">
        <f>IFERROR(SUMIFS('Rozpočet - HW a licencie'!$I$3:$I$105,'Rozpočet - HW a licencie'!$A$3:$A$105,'TCO TO BE - HW'!Z$2,'Rozpočet - HW a licencie'!$C$3:$C$105,"HW",'Rozpočet - HW a licencie'!$G$3:$G$105,'TCO TO BE - HW'!$D14,'Rozpočet - HW a licencie'!$D$3:$D$105,'TCO TO BE - HW'!$B$15)+SUMIFS('Rozpočet - HW a licencie'!$I$3:$I$105,'Rozpočet - HW a licencie'!$A$3:$A$105,'TCO TO BE - HW'!Z$2,'Rozpočet - HW a licencie'!$C$3:$C$105,"SW pre HW",'Rozpočet - HW a licencie'!$G$3:$G$105,'TCO TO BE - HW'!$D14,'Rozpočet - HW a licencie'!$D$3:$D$105,'TCO TO BE - HW'!$B$15),)</f>
        <v>0</v>
      </c>
    </row>
    <row r="25" spans="1:26" outlineLevel="1">
      <c r="A25" s="824" t="s">
        <v>421</v>
      </c>
      <c r="B25" s="825" t="s">
        <v>76</v>
      </c>
      <c r="C25" s="825">
        <v>637040</v>
      </c>
      <c r="D25" s="497">
        <v>1</v>
      </c>
      <c r="E25" s="68">
        <f t="shared" ref="E25:E34" si="3">SUM(F25:Z25)</f>
        <v>0</v>
      </c>
      <c r="F25" s="579">
        <v>0</v>
      </c>
      <c r="G25" s="579">
        <v>0</v>
      </c>
      <c r="H25" s="579">
        <v>0</v>
      </c>
      <c r="I25" s="579">
        <v>0</v>
      </c>
      <c r="J25" s="579">
        <v>0</v>
      </c>
      <c r="K25" s="579">
        <v>0</v>
      </c>
      <c r="L25" s="579">
        <v>0</v>
      </c>
      <c r="M25" s="579">
        <v>0</v>
      </c>
      <c r="N25" s="579">
        <v>0</v>
      </c>
      <c r="O25" s="579">
        <v>0</v>
      </c>
      <c r="P25" s="579">
        <v>0</v>
      </c>
      <c r="Q25" s="579">
        <v>0</v>
      </c>
      <c r="R25" s="579">
        <v>0</v>
      </c>
      <c r="S25" s="579">
        <v>0</v>
      </c>
      <c r="T25" s="579">
        <v>0</v>
      </c>
      <c r="U25" s="579">
        <v>0</v>
      </c>
      <c r="V25" s="579">
        <v>0</v>
      </c>
      <c r="W25" s="579">
        <v>0</v>
      </c>
      <c r="X25" s="579">
        <v>0</v>
      </c>
      <c r="Y25" s="579">
        <v>0</v>
      </c>
      <c r="Z25" s="579">
        <v>0</v>
      </c>
    </row>
    <row r="26" spans="1:26" outlineLevel="1">
      <c r="A26" s="824"/>
      <c r="B26" s="825"/>
      <c r="C26" s="825"/>
      <c r="D26" s="498">
        <v>2</v>
      </c>
      <c r="E26" s="68">
        <f t="shared" si="3"/>
        <v>0</v>
      </c>
      <c r="F26" s="580">
        <v>0</v>
      </c>
      <c r="G26" s="580">
        <v>0</v>
      </c>
      <c r="H26" s="580">
        <v>0</v>
      </c>
      <c r="I26" s="580">
        <v>0</v>
      </c>
      <c r="J26" s="580">
        <v>0</v>
      </c>
      <c r="K26" s="580">
        <v>0</v>
      </c>
      <c r="L26" s="580">
        <v>0</v>
      </c>
      <c r="M26" s="580">
        <v>0</v>
      </c>
      <c r="N26" s="580">
        <v>0</v>
      </c>
      <c r="O26" s="580">
        <v>0</v>
      </c>
      <c r="P26" s="580">
        <v>0</v>
      </c>
      <c r="Q26" s="580">
        <v>0</v>
      </c>
      <c r="R26" s="580">
        <v>0</v>
      </c>
      <c r="S26" s="580">
        <v>0</v>
      </c>
      <c r="T26" s="580">
        <v>0</v>
      </c>
      <c r="U26" s="580">
        <v>0</v>
      </c>
      <c r="V26" s="580">
        <v>0</v>
      </c>
      <c r="W26" s="580">
        <v>0</v>
      </c>
      <c r="X26" s="580">
        <v>0</v>
      </c>
      <c r="Y26" s="580">
        <v>0</v>
      </c>
      <c r="Z26" s="580">
        <v>0</v>
      </c>
    </row>
    <row r="27" spans="1:26" outlineLevel="1">
      <c r="A27" s="824"/>
      <c r="B27" s="825"/>
      <c r="C27" s="825"/>
      <c r="D27" s="498">
        <v>3</v>
      </c>
      <c r="E27" s="68">
        <f t="shared" si="3"/>
        <v>0</v>
      </c>
      <c r="F27" s="580">
        <v>0</v>
      </c>
      <c r="G27" s="580">
        <v>0</v>
      </c>
      <c r="H27" s="580">
        <v>0</v>
      </c>
      <c r="I27" s="580">
        <v>0</v>
      </c>
      <c r="J27" s="580">
        <v>0</v>
      </c>
      <c r="K27" s="580">
        <v>0</v>
      </c>
      <c r="L27" s="580">
        <v>0</v>
      </c>
      <c r="M27" s="580">
        <v>0</v>
      </c>
      <c r="N27" s="580">
        <v>0</v>
      </c>
      <c r="O27" s="580">
        <v>0</v>
      </c>
      <c r="P27" s="580">
        <v>0</v>
      </c>
      <c r="Q27" s="580">
        <v>0</v>
      </c>
      <c r="R27" s="580">
        <v>0</v>
      </c>
      <c r="S27" s="580">
        <v>0</v>
      </c>
      <c r="T27" s="580">
        <v>0</v>
      </c>
      <c r="U27" s="580">
        <v>0</v>
      </c>
      <c r="V27" s="580">
        <v>0</v>
      </c>
      <c r="W27" s="580">
        <v>0</v>
      </c>
      <c r="X27" s="580">
        <v>0</v>
      </c>
      <c r="Y27" s="580">
        <v>0</v>
      </c>
      <c r="Z27" s="580">
        <v>0</v>
      </c>
    </row>
    <row r="28" spans="1:26" outlineLevel="1">
      <c r="A28" s="824"/>
      <c r="B28" s="825"/>
      <c r="C28" s="825"/>
      <c r="D28" s="498">
        <v>4</v>
      </c>
      <c r="E28" s="68">
        <f t="shared" si="3"/>
        <v>0</v>
      </c>
      <c r="F28" s="580">
        <v>0</v>
      </c>
      <c r="G28" s="580">
        <v>0</v>
      </c>
      <c r="H28" s="580">
        <v>0</v>
      </c>
      <c r="I28" s="580">
        <v>0</v>
      </c>
      <c r="J28" s="580">
        <v>0</v>
      </c>
      <c r="K28" s="580">
        <v>0</v>
      </c>
      <c r="L28" s="580">
        <v>0</v>
      </c>
      <c r="M28" s="580">
        <v>0</v>
      </c>
      <c r="N28" s="580">
        <v>0</v>
      </c>
      <c r="O28" s="580">
        <v>0</v>
      </c>
      <c r="P28" s="580">
        <v>0</v>
      </c>
      <c r="Q28" s="580">
        <v>0</v>
      </c>
      <c r="R28" s="580">
        <v>0</v>
      </c>
      <c r="S28" s="580">
        <v>0</v>
      </c>
      <c r="T28" s="580">
        <v>0</v>
      </c>
      <c r="U28" s="580">
        <v>0</v>
      </c>
      <c r="V28" s="580">
        <v>0</v>
      </c>
      <c r="W28" s="580">
        <v>0</v>
      </c>
      <c r="X28" s="580">
        <v>0</v>
      </c>
      <c r="Y28" s="580">
        <v>0</v>
      </c>
      <c r="Z28" s="580">
        <v>0</v>
      </c>
    </row>
    <row r="29" spans="1:26" outlineLevel="1">
      <c r="A29" s="824"/>
      <c r="B29" s="825"/>
      <c r="C29" s="825"/>
      <c r="D29" s="498">
        <v>5</v>
      </c>
      <c r="E29" s="68">
        <f t="shared" si="3"/>
        <v>0</v>
      </c>
      <c r="F29" s="580">
        <v>0</v>
      </c>
      <c r="G29" s="580">
        <v>0</v>
      </c>
      <c r="H29" s="580">
        <v>0</v>
      </c>
      <c r="I29" s="580">
        <v>0</v>
      </c>
      <c r="J29" s="580">
        <v>0</v>
      </c>
      <c r="K29" s="580">
        <v>0</v>
      </c>
      <c r="L29" s="580">
        <v>0</v>
      </c>
      <c r="M29" s="580">
        <v>0</v>
      </c>
      <c r="N29" s="580">
        <v>0</v>
      </c>
      <c r="O29" s="580">
        <v>0</v>
      </c>
      <c r="P29" s="580">
        <v>0</v>
      </c>
      <c r="Q29" s="580">
        <v>0</v>
      </c>
      <c r="R29" s="580">
        <v>0</v>
      </c>
      <c r="S29" s="580">
        <v>0</v>
      </c>
      <c r="T29" s="580">
        <v>0</v>
      </c>
      <c r="U29" s="580">
        <v>0</v>
      </c>
      <c r="V29" s="580">
        <v>0</v>
      </c>
      <c r="W29" s="580">
        <v>0</v>
      </c>
      <c r="X29" s="580">
        <v>0</v>
      </c>
      <c r="Y29" s="580">
        <v>0</v>
      </c>
      <c r="Z29" s="580">
        <v>0</v>
      </c>
    </row>
    <row r="30" spans="1:26" outlineLevel="1">
      <c r="A30" s="824"/>
      <c r="B30" s="825"/>
      <c r="C30" s="825"/>
      <c r="D30" s="498">
        <v>6</v>
      </c>
      <c r="E30" s="68">
        <f t="shared" si="3"/>
        <v>0</v>
      </c>
      <c r="F30" s="580">
        <v>0</v>
      </c>
      <c r="G30" s="580">
        <v>0</v>
      </c>
      <c r="H30" s="580">
        <v>0</v>
      </c>
      <c r="I30" s="580">
        <v>0</v>
      </c>
      <c r="J30" s="580">
        <v>0</v>
      </c>
      <c r="K30" s="580">
        <v>0</v>
      </c>
      <c r="L30" s="580">
        <v>0</v>
      </c>
      <c r="M30" s="580">
        <v>0</v>
      </c>
      <c r="N30" s="580">
        <v>0</v>
      </c>
      <c r="O30" s="580">
        <v>0</v>
      </c>
      <c r="P30" s="580">
        <v>0</v>
      </c>
      <c r="Q30" s="580">
        <v>0</v>
      </c>
      <c r="R30" s="580">
        <v>0</v>
      </c>
      <c r="S30" s="580">
        <v>0</v>
      </c>
      <c r="T30" s="580">
        <v>0</v>
      </c>
      <c r="U30" s="580">
        <v>0</v>
      </c>
      <c r="V30" s="580">
        <v>0</v>
      </c>
      <c r="W30" s="580">
        <v>0</v>
      </c>
      <c r="X30" s="580">
        <v>0</v>
      </c>
      <c r="Y30" s="580">
        <v>0</v>
      </c>
      <c r="Z30" s="580">
        <v>0</v>
      </c>
    </row>
    <row r="31" spans="1:26" outlineLevel="1">
      <c r="A31" s="824"/>
      <c r="B31" s="825"/>
      <c r="C31" s="825"/>
      <c r="D31" s="498">
        <v>7</v>
      </c>
      <c r="E31" s="68">
        <f t="shared" si="3"/>
        <v>0</v>
      </c>
      <c r="F31" s="580">
        <v>0</v>
      </c>
      <c r="G31" s="580">
        <v>0</v>
      </c>
      <c r="H31" s="580">
        <v>0</v>
      </c>
      <c r="I31" s="580">
        <v>0</v>
      </c>
      <c r="J31" s="580">
        <v>0</v>
      </c>
      <c r="K31" s="580">
        <v>0</v>
      </c>
      <c r="L31" s="580">
        <v>0</v>
      </c>
      <c r="M31" s="580">
        <v>0</v>
      </c>
      <c r="N31" s="580">
        <v>0</v>
      </c>
      <c r="O31" s="580">
        <v>0</v>
      </c>
      <c r="P31" s="580">
        <v>0</v>
      </c>
      <c r="Q31" s="580">
        <v>0</v>
      </c>
      <c r="R31" s="580">
        <v>0</v>
      </c>
      <c r="S31" s="580">
        <v>0</v>
      </c>
      <c r="T31" s="580">
        <v>0</v>
      </c>
      <c r="U31" s="580">
        <v>0</v>
      </c>
      <c r="V31" s="580">
        <v>0</v>
      </c>
      <c r="W31" s="580">
        <v>0</v>
      </c>
      <c r="X31" s="580">
        <v>0</v>
      </c>
      <c r="Y31" s="580">
        <v>0</v>
      </c>
      <c r="Z31" s="580">
        <v>0</v>
      </c>
    </row>
    <row r="32" spans="1:26" outlineLevel="1">
      <c r="A32" s="824"/>
      <c r="B32" s="825"/>
      <c r="C32" s="825"/>
      <c r="D32" s="498">
        <v>8</v>
      </c>
      <c r="E32" s="68">
        <f t="shared" si="3"/>
        <v>0</v>
      </c>
      <c r="F32" s="580">
        <v>0</v>
      </c>
      <c r="G32" s="580">
        <v>0</v>
      </c>
      <c r="H32" s="580">
        <v>0</v>
      </c>
      <c r="I32" s="580">
        <v>0</v>
      </c>
      <c r="J32" s="580">
        <v>0</v>
      </c>
      <c r="K32" s="580">
        <v>0</v>
      </c>
      <c r="L32" s="580">
        <v>0</v>
      </c>
      <c r="M32" s="580">
        <v>0</v>
      </c>
      <c r="N32" s="580">
        <v>0</v>
      </c>
      <c r="O32" s="580">
        <v>0</v>
      </c>
      <c r="P32" s="580">
        <v>0</v>
      </c>
      <c r="Q32" s="580">
        <v>0</v>
      </c>
      <c r="R32" s="580">
        <v>0</v>
      </c>
      <c r="S32" s="580">
        <v>0</v>
      </c>
      <c r="T32" s="580">
        <v>0</v>
      </c>
      <c r="U32" s="580">
        <v>0</v>
      </c>
      <c r="V32" s="580">
        <v>0</v>
      </c>
      <c r="W32" s="580">
        <v>0</v>
      </c>
      <c r="X32" s="580">
        <v>0</v>
      </c>
      <c r="Y32" s="580">
        <v>0</v>
      </c>
      <c r="Z32" s="580">
        <v>0</v>
      </c>
    </row>
    <row r="33" spans="1:26" outlineLevel="1">
      <c r="A33" s="824"/>
      <c r="B33" s="825"/>
      <c r="C33" s="825"/>
      <c r="D33" s="498">
        <v>9</v>
      </c>
      <c r="E33" s="68">
        <f t="shared" si="3"/>
        <v>0</v>
      </c>
      <c r="F33" s="580">
        <v>0</v>
      </c>
      <c r="G33" s="580">
        <v>0</v>
      </c>
      <c r="H33" s="580">
        <v>0</v>
      </c>
      <c r="I33" s="580">
        <v>0</v>
      </c>
      <c r="J33" s="580">
        <v>0</v>
      </c>
      <c r="K33" s="580">
        <v>0</v>
      </c>
      <c r="L33" s="580">
        <v>0</v>
      </c>
      <c r="M33" s="580">
        <v>0</v>
      </c>
      <c r="N33" s="580">
        <v>0</v>
      </c>
      <c r="O33" s="580">
        <v>0</v>
      </c>
      <c r="P33" s="580">
        <v>0</v>
      </c>
      <c r="Q33" s="580">
        <v>0</v>
      </c>
      <c r="R33" s="580">
        <v>0</v>
      </c>
      <c r="S33" s="580">
        <v>0</v>
      </c>
      <c r="T33" s="580">
        <v>0</v>
      </c>
      <c r="U33" s="580">
        <v>0</v>
      </c>
      <c r="V33" s="580">
        <v>0</v>
      </c>
      <c r="W33" s="580">
        <v>0</v>
      </c>
      <c r="X33" s="580">
        <v>0</v>
      </c>
      <c r="Y33" s="580">
        <v>0</v>
      </c>
      <c r="Z33" s="580">
        <v>0</v>
      </c>
    </row>
    <row r="34" spans="1:26" ht="15.75" outlineLevel="1" thickBot="1">
      <c r="A34" s="824"/>
      <c r="B34" s="825"/>
      <c r="C34" s="825"/>
      <c r="D34" s="499">
        <v>10</v>
      </c>
      <c r="E34" s="69">
        <f t="shared" si="3"/>
        <v>0</v>
      </c>
      <c r="F34" s="584">
        <v>0</v>
      </c>
      <c r="G34" s="584">
        <v>0</v>
      </c>
      <c r="H34" s="584">
        <v>0</v>
      </c>
      <c r="I34" s="584">
        <v>0</v>
      </c>
      <c r="J34" s="584">
        <v>0</v>
      </c>
      <c r="K34" s="584">
        <v>0</v>
      </c>
      <c r="L34" s="584">
        <v>0</v>
      </c>
      <c r="M34" s="584">
        <v>0</v>
      </c>
      <c r="N34" s="584">
        <v>0</v>
      </c>
      <c r="O34" s="584">
        <v>0</v>
      </c>
      <c r="P34" s="584">
        <v>0</v>
      </c>
      <c r="Q34" s="584">
        <v>0</v>
      </c>
      <c r="R34" s="584">
        <v>0</v>
      </c>
      <c r="S34" s="584">
        <v>0</v>
      </c>
      <c r="T34" s="584">
        <v>0</v>
      </c>
      <c r="U34" s="584">
        <v>0</v>
      </c>
      <c r="V34" s="584">
        <v>0</v>
      </c>
      <c r="W34" s="584">
        <v>0</v>
      </c>
      <c r="X34" s="584">
        <v>0</v>
      </c>
      <c r="Y34" s="584">
        <v>0</v>
      </c>
      <c r="Z34" s="584">
        <v>0</v>
      </c>
    </row>
    <row r="35" spans="1:26" outlineLevel="1">
      <c r="A35" s="824" t="s">
        <v>421</v>
      </c>
      <c r="B35" s="825" t="s">
        <v>529</v>
      </c>
      <c r="C35" s="825">
        <v>637040</v>
      </c>
      <c r="D35" s="497">
        <v>1</v>
      </c>
      <c r="E35" s="68">
        <f t="shared" ref="E35:E44" si="4">SUM(F35:Z35)</f>
        <v>0</v>
      </c>
      <c r="F35" s="579">
        <v>0</v>
      </c>
      <c r="G35" s="579">
        <v>0</v>
      </c>
      <c r="H35" s="579">
        <v>0</v>
      </c>
      <c r="I35" s="579">
        <v>0</v>
      </c>
      <c r="J35" s="579">
        <v>0</v>
      </c>
      <c r="K35" s="579">
        <v>0</v>
      </c>
      <c r="L35" s="579">
        <v>0</v>
      </c>
      <c r="M35" s="579">
        <v>0</v>
      </c>
      <c r="N35" s="579">
        <v>0</v>
      </c>
      <c r="O35" s="579">
        <v>0</v>
      </c>
      <c r="P35" s="579">
        <v>0</v>
      </c>
      <c r="Q35" s="579">
        <v>0</v>
      </c>
      <c r="R35" s="579">
        <v>0</v>
      </c>
      <c r="S35" s="579">
        <v>0</v>
      </c>
      <c r="T35" s="579">
        <v>0</v>
      </c>
      <c r="U35" s="579">
        <v>0</v>
      </c>
      <c r="V35" s="579">
        <v>0</v>
      </c>
      <c r="W35" s="579">
        <v>0</v>
      </c>
      <c r="X35" s="579">
        <v>0</v>
      </c>
      <c r="Y35" s="579">
        <v>0</v>
      </c>
      <c r="Z35" s="579">
        <v>0</v>
      </c>
    </row>
    <row r="36" spans="1:26" outlineLevel="1">
      <c r="A36" s="824"/>
      <c r="B36" s="825"/>
      <c r="C36" s="825"/>
      <c r="D36" s="498">
        <v>2</v>
      </c>
      <c r="E36" s="68">
        <f t="shared" si="4"/>
        <v>0</v>
      </c>
      <c r="F36" s="580">
        <v>0</v>
      </c>
      <c r="G36" s="580">
        <v>0</v>
      </c>
      <c r="H36" s="580">
        <v>0</v>
      </c>
      <c r="I36" s="580">
        <v>0</v>
      </c>
      <c r="J36" s="580">
        <v>0</v>
      </c>
      <c r="K36" s="580">
        <v>0</v>
      </c>
      <c r="L36" s="580">
        <v>0</v>
      </c>
      <c r="M36" s="580">
        <v>0</v>
      </c>
      <c r="N36" s="580">
        <v>0</v>
      </c>
      <c r="O36" s="580">
        <v>0</v>
      </c>
      <c r="P36" s="580">
        <v>0</v>
      </c>
      <c r="Q36" s="580">
        <v>0</v>
      </c>
      <c r="R36" s="580">
        <v>0</v>
      </c>
      <c r="S36" s="580">
        <v>0</v>
      </c>
      <c r="T36" s="580">
        <v>0</v>
      </c>
      <c r="U36" s="580">
        <v>0</v>
      </c>
      <c r="V36" s="580">
        <v>0</v>
      </c>
      <c r="W36" s="580">
        <v>0</v>
      </c>
      <c r="X36" s="580">
        <v>0</v>
      </c>
      <c r="Y36" s="580">
        <v>0</v>
      </c>
      <c r="Z36" s="580">
        <v>0</v>
      </c>
    </row>
    <row r="37" spans="1:26" outlineLevel="1">
      <c r="A37" s="824"/>
      <c r="B37" s="825"/>
      <c r="C37" s="825"/>
      <c r="D37" s="498">
        <v>3</v>
      </c>
      <c r="E37" s="68">
        <f t="shared" si="4"/>
        <v>0</v>
      </c>
      <c r="F37" s="580">
        <v>0</v>
      </c>
      <c r="G37" s="580">
        <v>0</v>
      </c>
      <c r="H37" s="580">
        <v>0</v>
      </c>
      <c r="I37" s="580">
        <v>0</v>
      </c>
      <c r="J37" s="580">
        <v>0</v>
      </c>
      <c r="K37" s="580">
        <v>0</v>
      </c>
      <c r="L37" s="580">
        <v>0</v>
      </c>
      <c r="M37" s="580">
        <v>0</v>
      </c>
      <c r="N37" s="580">
        <v>0</v>
      </c>
      <c r="O37" s="580">
        <v>0</v>
      </c>
      <c r="P37" s="580">
        <v>0</v>
      </c>
      <c r="Q37" s="580">
        <v>0</v>
      </c>
      <c r="R37" s="580">
        <v>0</v>
      </c>
      <c r="S37" s="580">
        <v>0</v>
      </c>
      <c r="T37" s="580">
        <v>0</v>
      </c>
      <c r="U37" s="580">
        <v>0</v>
      </c>
      <c r="V37" s="580">
        <v>0</v>
      </c>
      <c r="W37" s="580">
        <v>0</v>
      </c>
      <c r="X37" s="580">
        <v>0</v>
      </c>
      <c r="Y37" s="580">
        <v>0</v>
      </c>
      <c r="Z37" s="580">
        <v>0</v>
      </c>
    </row>
    <row r="38" spans="1:26" outlineLevel="1">
      <c r="A38" s="824"/>
      <c r="B38" s="825"/>
      <c r="C38" s="825"/>
      <c r="D38" s="498">
        <v>4</v>
      </c>
      <c r="E38" s="68">
        <f t="shared" si="4"/>
        <v>0</v>
      </c>
      <c r="F38" s="580">
        <v>0</v>
      </c>
      <c r="G38" s="580">
        <v>0</v>
      </c>
      <c r="H38" s="580">
        <v>0</v>
      </c>
      <c r="I38" s="580">
        <v>0</v>
      </c>
      <c r="J38" s="580">
        <v>0</v>
      </c>
      <c r="K38" s="580">
        <v>0</v>
      </c>
      <c r="L38" s="580">
        <v>0</v>
      </c>
      <c r="M38" s="580">
        <v>0</v>
      </c>
      <c r="N38" s="580">
        <v>0</v>
      </c>
      <c r="O38" s="580">
        <v>0</v>
      </c>
      <c r="P38" s="580">
        <v>0</v>
      </c>
      <c r="Q38" s="580">
        <v>0</v>
      </c>
      <c r="R38" s="580">
        <v>0</v>
      </c>
      <c r="S38" s="580">
        <v>0</v>
      </c>
      <c r="T38" s="580">
        <v>0</v>
      </c>
      <c r="U38" s="580">
        <v>0</v>
      </c>
      <c r="V38" s="580">
        <v>0</v>
      </c>
      <c r="W38" s="580">
        <v>0</v>
      </c>
      <c r="X38" s="580">
        <v>0</v>
      </c>
      <c r="Y38" s="580">
        <v>0</v>
      </c>
      <c r="Z38" s="580">
        <v>0</v>
      </c>
    </row>
    <row r="39" spans="1:26" outlineLevel="1">
      <c r="A39" s="824"/>
      <c r="B39" s="825"/>
      <c r="C39" s="825"/>
      <c r="D39" s="498">
        <v>5</v>
      </c>
      <c r="E39" s="68">
        <f t="shared" si="4"/>
        <v>0</v>
      </c>
      <c r="F39" s="580">
        <v>0</v>
      </c>
      <c r="G39" s="580">
        <v>0</v>
      </c>
      <c r="H39" s="580">
        <v>0</v>
      </c>
      <c r="I39" s="580">
        <v>0</v>
      </c>
      <c r="J39" s="580">
        <v>0</v>
      </c>
      <c r="K39" s="580">
        <v>0</v>
      </c>
      <c r="L39" s="580">
        <v>0</v>
      </c>
      <c r="M39" s="580">
        <v>0</v>
      </c>
      <c r="N39" s="580">
        <v>0</v>
      </c>
      <c r="O39" s="580">
        <v>0</v>
      </c>
      <c r="P39" s="580">
        <v>0</v>
      </c>
      <c r="Q39" s="580">
        <v>0</v>
      </c>
      <c r="R39" s="580">
        <v>0</v>
      </c>
      <c r="S39" s="580">
        <v>0</v>
      </c>
      <c r="T39" s="580">
        <v>0</v>
      </c>
      <c r="U39" s="580">
        <v>0</v>
      </c>
      <c r="V39" s="580">
        <v>0</v>
      </c>
      <c r="W39" s="580">
        <v>0</v>
      </c>
      <c r="X39" s="580">
        <v>0</v>
      </c>
      <c r="Y39" s="580">
        <v>0</v>
      </c>
      <c r="Z39" s="580">
        <v>0</v>
      </c>
    </row>
    <row r="40" spans="1:26" outlineLevel="1">
      <c r="A40" s="824"/>
      <c r="B40" s="825"/>
      <c r="C40" s="825"/>
      <c r="D40" s="498">
        <v>6</v>
      </c>
      <c r="E40" s="68">
        <f t="shared" si="4"/>
        <v>0</v>
      </c>
      <c r="F40" s="580">
        <v>0</v>
      </c>
      <c r="G40" s="580">
        <v>0</v>
      </c>
      <c r="H40" s="580">
        <v>0</v>
      </c>
      <c r="I40" s="580">
        <v>0</v>
      </c>
      <c r="J40" s="580">
        <v>0</v>
      </c>
      <c r="K40" s="580">
        <v>0</v>
      </c>
      <c r="L40" s="580">
        <v>0</v>
      </c>
      <c r="M40" s="580">
        <v>0</v>
      </c>
      <c r="N40" s="580">
        <v>0</v>
      </c>
      <c r="O40" s="580">
        <v>0</v>
      </c>
      <c r="P40" s="580">
        <v>0</v>
      </c>
      <c r="Q40" s="580">
        <v>0</v>
      </c>
      <c r="R40" s="580">
        <v>0</v>
      </c>
      <c r="S40" s="580">
        <v>0</v>
      </c>
      <c r="T40" s="580">
        <v>0</v>
      </c>
      <c r="U40" s="580">
        <v>0</v>
      </c>
      <c r="V40" s="580">
        <v>0</v>
      </c>
      <c r="W40" s="580">
        <v>0</v>
      </c>
      <c r="X40" s="580">
        <v>0</v>
      </c>
      <c r="Y40" s="580">
        <v>0</v>
      </c>
      <c r="Z40" s="580">
        <v>0</v>
      </c>
    </row>
    <row r="41" spans="1:26" outlineLevel="1">
      <c r="A41" s="824"/>
      <c r="B41" s="825"/>
      <c r="C41" s="825"/>
      <c r="D41" s="498">
        <v>7</v>
      </c>
      <c r="E41" s="68">
        <f t="shared" si="4"/>
        <v>0</v>
      </c>
      <c r="F41" s="580">
        <v>0</v>
      </c>
      <c r="G41" s="580">
        <v>0</v>
      </c>
      <c r="H41" s="580">
        <v>0</v>
      </c>
      <c r="I41" s="580">
        <v>0</v>
      </c>
      <c r="J41" s="580">
        <v>0</v>
      </c>
      <c r="K41" s="580">
        <v>0</v>
      </c>
      <c r="L41" s="580">
        <v>0</v>
      </c>
      <c r="M41" s="580">
        <v>0</v>
      </c>
      <c r="N41" s="580">
        <v>0</v>
      </c>
      <c r="O41" s="580">
        <v>0</v>
      </c>
      <c r="P41" s="580">
        <v>0</v>
      </c>
      <c r="Q41" s="580">
        <v>0</v>
      </c>
      <c r="R41" s="580">
        <v>0</v>
      </c>
      <c r="S41" s="580">
        <v>0</v>
      </c>
      <c r="T41" s="580">
        <v>0</v>
      </c>
      <c r="U41" s="580">
        <v>0</v>
      </c>
      <c r="V41" s="580">
        <v>0</v>
      </c>
      <c r="W41" s="580">
        <v>0</v>
      </c>
      <c r="X41" s="580">
        <v>0</v>
      </c>
      <c r="Y41" s="580">
        <v>0</v>
      </c>
      <c r="Z41" s="580">
        <v>0</v>
      </c>
    </row>
    <row r="42" spans="1:26" outlineLevel="1">
      <c r="A42" s="824"/>
      <c r="B42" s="825"/>
      <c r="C42" s="825"/>
      <c r="D42" s="498">
        <v>8</v>
      </c>
      <c r="E42" s="68">
        <f t="shared" si="4"/>
        <v>0</v>
      </c>
      <c r="F42" s="580">
        <v>0</v>
      </c>
      <c r="G42" s="580">
        <v>0</v>
      </c>
      <c r="H42" s="580">
        <v>0</v>
      </c>
      <c r="I42" s="580">
        <v>0</v>
      </c>
      <c r="J42" s="580">
        <v>0</v>
      </c>
      <c r="K42" s="580">
        <v>0</v>
      </c>
      <c r="L42" s="580">
        <v>0</v>
      </c>
      <c r="M42" s="580">
        <v>0</v>
      </c>
      <c r="N42" s="580">
        <v>0</v>
      </c>
      <c r="O42" s="580">
        <v>0</v>
      </c>
      <c r="P42" s="580">
        <v>0</v>
      </c>
      <c r="Q42" s="580">
        <v>0</v>
      </c>
      <c r="R42" s="580">
        <v>0</v>
      </c>
      <c r="S42" s="580">
        <v>0</v>
      </c>
      <c r="T42" s="580">
        <v>0</v>
      </c>
      <c r="U42" s="580">
        <v>0</v>
      </c>
      <c r="V42" s="580">
        <v>0</v>
      </c>
      <c r="W42" s="580">
        <v>0</v>
      </c>
      <c r="X42" s="580">
        <v>0</v>
      </c>
      <c r="Y42" s="580">
        <v>0</v>
      </c>
      <c r="Z42" s="580">
        <v>0</v>
      </c>
    </row>
    <row r="43" spans="1:26" outlineLevel="1">
      <c r="A43" s="824"/>
      <c r="B43" s="825"/>
      <c r="C43" s="825"/>
      <c r="D43" s="498">
        <v>9</v>
      </c>
      <c r="E43" s="68">
        <f t="shared" si="4"/>
        <v>0</v>
      </c>
      <c r="F43" s="580">
        <v>0</v>
      </c>
      <c r="G43" s="580">
        <v>0</v>
      </c>
      <c r="H43" s="580">
        <v>0</v>
      </c>
      <c r="I43" s="580">
        <v>0</v>
      </c>
      <c r="J43" s="580">
        <v>0</v>
      </c>
      <c r="K43" s="580">
        <v>0</v>
      </c>
      <c r="L43" s="580">
        <v>0</v>
      </c>
      <c r="M43" s="580">
        <v>0</v>
      </c>
      <c r="N43" s="580">
        <v>0</v>
      </c>
      <c r="O43" s="580">
        <v>0</v>
      </c>
      <c r="P43" s="580">
        <v>0</v>
      </c>
      <c r="Q43" s="580">
        <v>0</v>
      </c>
      <c r="R43" s="580">
        <v>0</v>
      </c>
      <c r="S43" s="580">
        <v>0</v>
      </c>
      <c r="T43" s="580">
        <v>0</v>
      </c>
      <c r="U43" s="580">
        <v>0</v>
      </c>
      <c r="V43" s="580">
        <v>0</v>
      </c>
      <c r="W43" s="580">
        <v>0</v>
      </c>
      <c r="X43" s="580">
        <v>0</v>
      </c>
      <c r="Y43" s="580">
        <v>0</v>
      </c>
      <c r="Z43" s="580">
        <v>0</v>
      </c>
    </row>
    <row r="44" spans="1:26" ht="15.75" outlineLevel="1" thickBot="1">
      <c r="A44" s="824"/>
      <c r="B44" s="825"/>
      <c r="C44" s="825"/>
      <c r="D44" s="499">
        <v>10</v>
      </c>
      <c r="E44" s="69">
        <f t="shared" si="4"/>
        <v>0</v>
      </c>
      <c r="F44" s="584">
        <v>0</v>
      </c>
      <c r="G44" s="584">
        <v>0</v>
      </c>
      <c r="H44" s="584">
        <v>0</v>
      </c>
      <c r="I44" s="584">
        <v>0</v>
      </c>
      <c r="J44" s="584">
        <v>0</v>
      </c>
      <c r="K44" s="584">
        <v>0</v>
      </c>
      <c r="L44" s="584">
        <v>0</v>
      </c>
      <c r="M44" s="584">
        <v>0</v>
      </c>
      <c r="N44" s="584">
        <v>0</v>
      </c>
      <c r="O44" s="584">
        <v>0</v>
      </c>
      <c r="P44" s="584">
        <v>0</v>
      </c>
      <c r="Q44" s="584">
        <v>0</v>
      </c>
      <c r="R44" s="584">
        <v>0</v>
      </c>
      <c r="S44" s="584">
        <v>0</v>
      </c>
      <c r="T44" s="584">
        <v>0</v>
      </c>
      <c r="U44" s="584">
        <v>0</v>
      </c>
      <c r="V44" s="584">
        <v>0</v>
      </c>
      <c r="W44" s="584">
        <v>0</v>
      </c>
      <c r="X44" s="584">
        <v>0</v>
      </c>
      <c r="Y44" s="584">
        <v>0</v>
      </c>
      <c r="Z44" s="584">
        <v>0</v>
      </c>
    </row>
    <row r="45" spans="1:26" outlineLevel="1">
      <c r="A45" s="824" t="s">
        <v>89</v>
      </c>
      <c r="B45" s="825" t="s">
        <v>76</v>
      </c>
      <c r="C45" s="825">
        <v>637040</v>
      </c>
      <c r="D45" s="497">
        <v>1</v>
      </c>
      <c r="E45" s="68">
        <f t="shared" si="2"/>
        <v>0</v>
      </c>
      <c r="F45" s="579">
        <v>0</v>
      </c>
      <c r="G45" s="579">
        <v>0</v>
      </c>
      <c r="H45" s="579">
        <v>0</v>
      </c>
      <c r="I45" s="579">
        <v>0</v>
      </c>
      <c r="J45" s="579">
        <v>0</v>
      </c>
      <c r="K45" s="579">
        <v>0</v>
      </c>
      <c r="L45" s="579">
        <v>0</v>
      </c>
      <c r="M45" s="579">
        <v>0</v>
      </c>
      <c r="N45" s="579">
        <v>0</v>
      </c>
      <c r="O45" s="579">
        <v>0</v>
      </c>
      <c r="P45" s="579">
        <v>0</v>
      </c>
      <c r="Q45" s="579">
        <v>0</v>
      </c>
      <c r="R45" s="579">
        <v>0</v>
      </c>
      <c r="S45" s="579">
        <v>0</v>
      </c>
      <c r="T45" s="579">
        <v>0</v>
      </c>
      <c r="U45" s="579">
        <v>0</v>
      </c>
      <c r="V45" s="579">
        <v>0</v>
      </c>
      <c r="W45" s="579">
        <v>0</v>
      </c>
      <c r="X45" s="579">
        <v>0</v>
      </c>
      <c r="Y45" s="579">
        <v>0</v>
      </c>
      <c r="Z45" s="579">
        <v>0</v>
      </c>
    </row>
    <row r="46" spans="1:26" outlineLevel="1">
      <c r="A46" s="824"/>
      <c r="B46" s="825"/>
      <c r="C46" s="825"/>
      <c r="D46" s="498">
        <v>2</v>
      </c>
      <c r="E46" s="68">
        <f t="shared" si="2"/>
        <v>0</v>
      </c>
      <c r="F46" s="580">
        <v>0</v>
      </c>
      <c r="G46" s="580">
        <v>0</v>
      </c>
      <c r="H46" s="580">
        <v>0</v>
      </c>
      <c r="I46" s="580">
        <v>0</v>
      </c>
      <c r="J46" s="580">
        <v>0</v>
      </c>
      <c r="K46" s="580">
        <v>0</v>
      </c>
      <c r="L46" s="580">
        <v>0</v>
      </c>
      <c r="M46" s="580">
        <v>0</v>
      </c>
      <c r="N46" s="580">
        <v>0</v>
      </c>
      <c r="O46" s="580">
        <v>0</v>
      </c>
      <c r="P46" s="580">
        <v>0</v>
      </c>
      <c r="Q46" s="580">
        <v>0</v>
      </c>
      <c r="R46" s="580">
        <v>0</v>
      </c>
      <c r="S46" s="580">
        <v>0</v>
      </c>
      <c r="T46" s="580">
        <v>0</v>
      </c>
      <c r="U46" s="580">
        <v>0</v>
      </c>
      <c r="V46" s="580">
        <v>0</v>
      </c>
      <c r="W46" s="580">
        <v>0</v>
      </c>
      <c r="X46" s="580">
        <v>0</v>
      </c>
      <c r="Y46" s="580">
        <v>0</v>
      </c>
      <c r="Z46" s="580">
        <v>0</v>
      </c>
    </row>
    <row r="47" spans="1:26" outlineLevel="1">
      <c r="A47" s="824"/>
      <c r="B47" s="825"/>
      <c r="C47" s="825"/>
      <c r="D47" s="498">
        <v>3</v>
      </c>
      <c r="E47" s="68">
        <f t="shared" si="2"/>
        <v>0</v>
      </c>
      <c r="F47" s="580">
        <v>0</v>
      </c>
      <c r="G47" s="580">
        <v>0</v>
      </c>
      <c r="H47" s="580">
        <v>0</v>
      </c>
      <c r="I47" s="580">
        <v>0</v>
      </c>
      <c r="J47" s="580">
        <v>0</v>
      </c>
      <c r="K47" s="580">
        <v>0</v>
      </c>
      <c r="L47" s="580">
        <v>0</v>
      </c>
      <c r="M47" s="580">
        <v>0</v>
      </c>
      <c r="N47" s="580">
        <v>0</v>
      </c>
      <c r="O47" s="580">
        <v>0</v>
      </c>
      <c r="P47" s="580">
        <v>0</v>
      </c>
      <c r="Q47" s="580">
        <v>0</v>
      </c>
      <c r="R47" s="580">
        <v>0</v>
      </c>
      <c r="S47" s="580">
        <v>0</v>
      </c>
      <c r="T47" s="580">
        <v>0</v>
      </c>
      <c r="U47" s="580">
        <v>0</v>
      </c>
      <c r="V47" s="580">
        <v>0</v>
      </c>
      <c r="W47" s="580">
        <v>0</v>
      </c>
      <c r="X47" s="580">
        <v>0</v>
      </c>
      <c r="Y47" s="580">
        <v>0</v>
      </c>
      <c r="Z47" s="580">
        <v>0</v>
      </c>
    </row>
    <row r="48" spans="1:26" outlineLevel="1">
      <c r="A48" s="824"/>
      <c r="B48" s="825"/>
      <c r="C48" s="825"/>
      <c r="D48" s="498">
        <v>4</v>
      </c>
      <c r="E48" s="68">
        <f t="shared" si="2"/>
        <v>0</v>
      </c>
      <c r="F48" s="580">
        <v>0</v>
      </c>
      <c r="G48" s="580">
        <v>0</v>
      </c>
      <c r="H48" s="580">
        <v>0</v>
      </c>
      <c r="I48" s="580">
        <v>0</v>
      </c>
      <c r="J48" s="580">
        <v>0</v>
      </c>
      <c r="K48" s="580">
        <v>0</v>
      </c>
      <c r="L48" s="580">
        <v>0</v>
      </c>
      <c r="M48" s="580">
        <v>0</v>
      </c>
      <c r="N48" s="580">
        <v>0</v>
      </c>
      <c r="O48" s="580">
        <v>0</v>
      </c>
      <c r="P48" s="580">
        <v>0</v>
      </c>
      <c r="Q48" s="580">
        <v>0</v>
      </c>
      <c r="R48" s="580">
        <v>0</v>
      </c>
      <c r="S48" s="580">
        <v>0</v>
      </c>
      <c r="T48" s="580">
        <v>0</v>
      </c>
      <c r="U48" s="580">
        <v>0</v>
      </c>
      <c r="V48" s="580">
        <v>0</v>
      </c>
      <c r="W48" s="580">
        <v>0</v>
      </c>
      <c r="X48" s="580">
        <v>0</v>
      </c>
      <c r="Y48" s="580">
        <v>0</v>
      </c>
      <c r="Z48" s="580">
        <v>0</v>
      </c>
    </row>
    <row r="49" spans="1:26" outlineLevel="1">
      <c r="A49" s="824"/>
      <c r="B49" s="825"/>
      <c r="C49" s="825"/>
      <c r="D49" s="498">
        <v>5</v>
      </c>
      <c r="E49" s="68">
        <f t="shared" si="2"/>
        <v>0</v>
      </c>
      <c r="F49" s="580">
        <v>0</v>
      </c>
      <c r="G49" s="580">
        <v>0</v>
      </c>
      <c r="H49" s="580">
        <v>0</v>
      </c>
      <c r="I49" s="580">
        <v>0</v>
      </c>
      <c r="J49" s="580">
        <v>0</v>
      </c>
      <c r="K49" s="580">
        <v>0</v>
      </c>
      <c r="L49" s="580">
        <v>0</v>
      </c>
      <c r="M49" s="580">
        <v>0</v>
      </c>
      <c r="N49" s="580">
        <v>0</v>
      </c>
      <c r="O49" s="580">
        <v>0</v>
      </c>
      <c r="P49" s="580">
        <v>0</v>
      </c>
      <c r="Q49" s="580">
        <v>0</v>
      </c>
      <c r="R49" s="580">
        <v>0</v>
      </c>
      <c r="S49" s="580">
        <v>0</v>
      </c>
      <c r="T49" s="580">
        <v>0</v>
      </c>
      <c r="U49" s="580">
        <v>0</v>
      </c>
      <c r="V49" s="580">
        <v>0</v>
      </c>
      <c r="W49" s="580">
        <v>0</v>
      </c>
      <c r="X49" s="580">
        <v>0</v>
      </c>
      <c r="Y49" s="580">
        <v>0</v>
      </c>
      <c r="Z49" s="580">
        <v>0</v>
      </c>
    </row>
    <row r="50" spans="1:26" outlineLevel="1">
      <c r="A50" s="824"/>
      <c r="B50" s="825"/>
      <c r="C50" s="825"/>
      <c r="D50" s="498">
        <v>6</v>
      </c>
      <c r="E50" s="68">
        <f t="shared" si="2"/>
        <v>0</v>
      </c>
      <c r="F50" s="580">
        <v>0</v>
      </c>
      <c r="G50" s="580">
        <v>0</v>
      </c>
      <c r="H50" s="580">
        <v>0</v>
      </c>
      <c r="I50" s="580">
        <v>0</v>
      </c>
      <c r="J50" s="580">
        <v>0</v>
      </c>
      <c r="K50" s="580">
        <v>0</v>
      </c>
      <c r="L50" s="580">
        <v>0</v>
      </c>
      <c r="M50" s="580">
        <v>0</v>
      </c>
      <c r="N50" s="580">
        <v>0</v>
      </c>
      <c r="O50" s="580">
        <v>0</v>
      </c>
      <c r="P50" s="580">
        <v>0</v>
      </c>
      <c r="Q50" s="580">
        <v>0</v>
      </c>
      <c r="R50" s="580">
        <v>0</v>
      </c>
      <c r="S50" s="580">
        <v>0</v>
      </c>
      <c r="T50" s="580">
        <v>0</v>
      </c>
      <c r="U50" s="580">
        <v>0</v>
      </c>
      <c r="V50" s="580">
        <v>0</v>
      </c>
      <c r="W50" s="580">
        <v>0</v>
      </c>
      <c r="X50" s="580">
        <v>0</v>
      </c>
      <c r="Y50" s="580">
        <v>0</v>
      </c>
      <c r="Z50" s="580">
        <v>0</v>
      </c>
    </row>
    <row r="51" spans="1:26" outlineLevel="1">
      <c r="A51" s="824"/>
      <c r="B51" s="825"/>
      <c r="C51" s="825"/>
      <c r="D51" s="498">
        <v>7</v>
      </c>
      <c r="E51" s="68">
        <f t="shared" si="2"/>
        <v>0</v>
      </c>
      <c r="F51" s="580">
        <v>0</v>
      </c>
      <c r="G51" s="580">
        <v>0</v>
      </c>
      <c r="H51" s="580">
        <v>0</v>
      </c>
      <c r="I51" s="580">
        <v>0</v>
      </c>
      <c r="J51" s="580">
        <v>0</v>
      </c>
      <c r="K51" s="580">
        <v>0</v>
      </c>
      <c r="L51" s="580">
        <v>0</v>
      </c>
      <c r="M51" s="580">
        <v>0</v>
      </c>
      <c r="N51" s="580">
        <v>0</v>
      </c>
      <c r="O51" s="580">
        <v>0</v>
      </c>
      <c r="P51" s="580">
        <v>0</v>
      </c>
      <c r="Q51" s="580">
        <v>0</v>
      </c>
      <c r="R51" s="580">
        <v>0</v>
      </c>
      <c r="S51" s="580">
        <v>0</v>
      </c>
      <c r="T51" s="580">
        <v>0</v>
      </c>
      <c r="U51" s="580">
        <v>0</v>
      </c>
      <c r="V51" s="580">
        <v>0</v>
      </c>
      <c r="W51" s="580">
        <v>0</v>
      </c>
      <c r="X51" s="580">
        <v>0</v>
      </c>
      <c r="Y51" s="580">
        <v>0</v>
      </c>
      <c r="Z51" s="580">
        <v>0</v>
      </c>
    </row>
    <row r="52" spans="1:26" outlineLevel="1">
      <c r="A52" s="824"/>
      <c r="B52" s="825"/>
      <c r="C52" s="825"/>
      <c r="D52" s="498">
        <v>8</v>
      </c>
      <c r="E52" s="68">
        <f t="shared" si="2"/>
        <v>0</v>
      </c>
      <c r="F52" s="580">
        <v>0</v>
      </c>
      <c r="G52" s="580">
        <v>0</v>
      </c>
      <c r="H52" s="580">
        <v>0</v>
      </c>
      <c r="I52" s="580">
        <v>0</v>
      </c>
      <c r="J52" s="580">
        <v>0</v>
      </c>
      <c r="K52" s="580">
        <v>0</v>
      </c>
      <c r="L52" s="580">
        <v>0</v>
      </c>
      <c r="M52" s="580">
        <v>0</v>
      </c>
      <c r="N52" s="580">
        <v>0</v>
      </c>
      <c r="O52" s="580">
        <v>0</v>
      </c>
      <c r="P52" s="580">
        <v>0</v>
      </c>
      <c r="Q52" s="580">
        <v>0</v>
      </c>
      <c r="R52" s="580">
        <v>0</v>
      </c>
      <c r="S52" s="580">
        <v>0</v>
      </c>
      <c r="T52" s="580">
        <v>0</v>
      </c>
      <c r="U52" s="580">
        <v>0</v>
      </c>
      <c r="V52" s="580">
        <v>0</v>
      </c>
      <c r="W52" s="580">
        <v>0</v>
      </c>
      <c r="X52" s="580">
        <v>0</v>
      </c>
      <c r="Y52" s="580">
        <v>0</v>
      </c>
      <c r="Z52" s="580">
        <v>0</v>
      </c>
    </row>
    <row r="53" spans="1:26" outlineLevel="1">
      <c r="A53" s="824"/>
      <c r="B53" s="825"/>
      <c r="C53" s="825"/>
      <c r="D53" s="498">
        <v>9</v>
      </c>
      <c r="E53" s="68">
        <f t="shared" si="2"/>
        <v>0</v>
      </c>
      <c r="F53" s="580">
        <v>0</v>
      </c>
      <c r="G53" s="580">
        <v>0</v>
      </c>
      <c r="H53" s="580">
        <v>0</v>
      </c>
      <c r="I53" s="580">
        <v>0</v>
      </c>
      <c r="J53" s="580">
        <v>0</v>
      </c>
      <c r="K53" s="580">
        <v>0</v>
      </c>
      <c r="L53" s="580">
        <v>0</v>
      </c>
      <c r="M53" s="580">
        <v>0</v>
      </c>
      <c r="N53" s="580">
        <v>0</v>
      </c>
      <c r="O53" s="580">
        <v>0</v>
      </c>
      <c r="P53" s="580">
        <v>0</v>
      </c>
      <c r="Q53" s="580">
        <v>0</v>
      </c>
      <c r="R53" s="580">
        <v>0</v>
      </c>
      <c r="S53" s="580">
        <v>0</v>
      </c>
      <c r="T53" s="580">
        <v>0</v>
      </c>
      <c r="U53" s="580">
        <v>0</v>
      </c>
      <c r="V53" s="580">
        <v>0</v>
      </c>
      <c r="W53" s="580">
        <v>0</v>
      </c>
      <c r="X53" s="580">
        <v>0</v>
      </c>
      <c r="Y53" s="580">
        <v>0</v>
      </c>
      <c r="Z53" s="580">
        <v>0</v>
      </c>
    </row>
    <row r="54" spans="1:26" ht="15.75" outlineLevel="1" thickBot="1">
      <c r="A54" s="824"/>
      <c r="B54" s="825"/>
      <c r="C54" s="825"/>
      <c r="D54" s="499">
        <v>10</v>
      </c>
      <c r="E54" s="68">
        <f t="shared" si="2"/>
        <v>0</v>
      </c>
      <c r="F54" s="584">
        <v>0</v>
      </c>
      <c r="G54" s="584">
        <v>0</v>
      </c>
      <c r="H54" s="584">
        <v>0</v>
      </c>
      <c r="I54" s="584">
        <v>0</v>
      </c>
      <c r="J54" s="584">
        <v>0</v>
      </c>
      <c r="K54" s="584">
        <v>0</v>
      </c>
      <c r="L54" s="584">
        <v>0</v>
      </c>
      <c r="M54" s="584">
        <v>0</v>
      </c>
      <c r="N54" s="584">
        <v>0</v>
      </c>
      <c r="O54" s="584">
        <v>0</v>
      </c>
      <c r="P54" s="584">
        <v>0</v>
      </c>
      <c r="Q54" s="584">
        <v>0</v>
      </c>
      <c r="R54" s="584">
        <v>0</v>
      </c>
      <c r="S54" s="584">
        <v>0</v>
      </c>
      <c r="T54" s="584">
        <v>0</v>
      </c>
      <c r="U54" s="584">
        <v>0</v>
      </c>
      <c r="V54" s="584">
        <v>0</v>
      </c>
      <c r="W54" s="584">
        <v>0</v>
      </c>
      <c r="X54" s="584">
        <v>0</v>
      </c>
      <c r="Y54" s="584">
        <v>0</v>
      </c>
      <c r="Z54" s="584">
        <v>0</v>
      </c>
    </row>
    <row r="55" spans="1:26" ht="15.75" thickBot="1">
      <c r="A55" s="838" t="s">
        <v>86</v>
      </c>
      <c r="B55" s="838"/>
      <c r="C55" s="838"/>
      <c r="D55" s="591"/>
      <c r="E55" s="72">
        <f t="shared" ref="E55:F55" si="5">SUM(E56:E105)</f>
        <v>2460000</v>
      </c>
      <c r="F55" s="73">
        <f t="shared" si="5"/>
        <v>2460000</v>
      </c>
      <c r="G55" s="73">
        <f t="shared" ref="G55:Z55" si="6">SUM(G56:G105)</f>
        <v>0</v>
      </c>
      <c r="H55" s="73">
        <f t="shared" si="6"/>
        <v>0</v>
      </c>
      <c r="I55" s="73">
        <f t="shared" si="6"/>
        <v>0</v>
      </c>
      <c r="J55" s="73">
        <f t="shared" si="6"/>
        <v>0</v>
      </c>
      <c r="K55" s="73">
        <f t="shared" si="6"/>
        <v>0</v>
      </c>
      <c r="L55" s="73">
        <f t="shared" si="6"/>
        <v>0</v>
      </c>
      <c r="M55" s="73">
        <f t="shared" si="6"/>
        <v>0</v>
      </c>
      <c r="N55" s="73">
        <f t="shared" si="6"/>
        <v>0</v>
      </c>
      <c r="O55" s="73">
        <f t="shared" si="6"/>
        <v>0</v>
      </c>
      <c r="P55" s="73">
        <f t="shared" si="6"/>
        <v>0</v>
      </c>
      <c r="Q55" s="73">
        <f t="shared" si="6"/>
        <v>0</v>
      </c>
      <c r="R55" s="73">
        <f t="shared" si="6"/>
        <v>0</v>
      </c>
      <c r="S55" s="73">
        <f t="shared" si="6"/>
        <v>0</v>
      </c>
      <c r="T55" s="73">
        <f t="shared" si="6"/>
        <v>0</v>
      </c>
      <c r="U55" s="73">
        <f t="shared" si="6"/>
        <v>0</v>
      </c>
      <c r="V55" s="73">
        <f t="shared" si="6"/>
        <v>0</v>
      </c>
      <c r="W55" s="73">
        <f t="shared" si="6"/>
        <v>0</v>
      </c>
      <c r="X55" s="73">
        <f t="shared" si="6"/>
        <v>0</v>
      </c>
      <c r="Y55" s="73">
        <f t="shared" si="6"/>
        <v>0</v>
      </c>
      <c r="Z55" s="73">
        <f t="shared" si="6"/>
        <v>0</v>
      </c>
    </row>
    <row r="56" spans="1:26" outlineLevel="1">
      <c r="A56" s="824" t="s">
        <v>91</v>
      </c>
      <c r="B56" s="825" t="s">
        <v>79</v>
      </c>
      <c r="C56" s="825">
        <v>635002</v>
      </c>
      <c r="D56" s="497">
        <v>1</v>
      </c>
      <c r="E56" s="67">
        <f t="shared" ref="E56:E105" si="7">SUM(F56:Z56)</f>
        <v>138000</v>
      </c>
      <c r="F56" s="576">
        <v>138000</v>
      </c>
      <c r="G56" s="576">
        <f>IFERROR(IF(VLOOKUP(G$2,MODULY_CBA!$B$3:$N$23,13,0)&lt;=$D56,SUM(G$5:G$14)*VLOOKUP(G$2,MODULY_CBA!$B$3:$M$23,12,0),0),0)</f>
        <v>0</v>
      </c>
      <c r="H56" s="576">
        <f>IFERROR(IF(VLOOKUP(H$2,MODULY_CBA!$B$3:$N$23,13,0)&lt;=$D56,SUM(H$5:H$14)*VLOOKUP(H$2,MODULY_CBA!$B$3:$M$23,12,0),0),0)</f>
        <v>0</v>
      </c>
      <c r="I56" s="576">
        <f>IFERROR(IF(VLOOKUP(I$2,MODULY_CBA!$B$3:$N$23,13,0)&lt;=$D56,SUM(I$5:I$14)*VLOOKUP(I$2,MODULY_CBA!$B$3:$M$23,12,0),0),0)</f>
        <v>0</v>
      </c>
      <c r="J56" s="576">
        <f>IFERROR(IF(VLOOKUP(J$2,MODULY_CBA!$B$3:$N$23,13,0)&lt;=$D56,SUM(J$5:J$14)*VLOOKUP(J$2,MODULY_CBA!$B$3:$M$23,12,0),0),0)</f>
        <v>0</v>
      </c>
      <c r="K56" s="576">
        <f>IFERROR(IF(VLOOKUP(K$2,MODULY_CBA!$B$3:$N$23,13,0)&lt;=$D56,SUM(K$5:K$14)*VLOOKUP(K$2,MODULY_CBA!$B$3:$M$23,12,0),0),0)</f>
        <v>0</v>
      </c>
      <c r="L56" s="576">
        <f>IFERROR(IF(VLOOKUP(L$2,MODULY_CBA!$B$3:$N$23,13,0)&lt;=$D56,SUM(L$5:L$14)*VLOOKUP(L$2,MODULY_CBA!$B$3:$M$23,12,0),0),0)</f>
        <v>0</v>
      </c>
      <c r="M56" s="576">
        <f>IFERROR(IF(VLOOKUP(M$2,MODULY_CBA!$B$3:$N$23,13,0)&lt;=$D56,SUM(M$5:M$14)*VLOOKUP(M$2,MODULY_CBA!$B$3:$M$23,12,0),0),0)</f>
        <v>0</v>
      </c>
      <c r="N56" s="576">
        <f>IFERROR(IF(VLOOKUP(N$2,MODULY_CBA!$B$3:$N$23,13,0)&lt;=$D56,SUM(N$5:N$14)*VLOOKUP(N$2,MODULY_CBA!$B$3:$M$23,12,0),0),0)</f>
        <v>0</v>
      </c>
      <c r="O56" s="576">
        <f>IFERROR(IF(VLOOKUP(O$2,MODULY_CBA!$B$3:$N$23,13,0)&lt;=$D56,SUM(O$5:O$14)*VLOOKUP(O$2,MODULY_CBA!$B$3:$M$23,12,0),0),0)</f>
        <v>0</v>
      </c>
      <c r="P56" s="576">
        <f>IFERROR(IF(VLOOKUP(P$2,MODULY_CBA!$B$3:$N$23,13,0)&lt;=$D56,SUM(P$5:P$14)*VLOOKUP(P$2,MODULY_CBA!$B$3:$M$23,12,0),0),0)</f>
        <v>0</v>
      </c>
      <c r="Q56" s="576">
        <f>IFERROR(IF(VLOOKUP(Q$2,MODULY_CBA!$B$3:$N$23,13,0)&lt;=$D56,SUM(Q$5:Q$14)*VLOOKUP(Q$2,MODULY_CBA!$B$3:$M$23,12,0),0),0)</f>
        <v>0</v>
      </c>
      <c r="R56" s="576">
        <f>IFERROR(IF(VLOOKUP(R$2,MODULY_CBA!$B$3:$N$23,13,0)&lt;=$D56,SUM(R$5:R$14)*VLOOKUP(R$2,MODULY_CBA!$B$3:$M$23,12,0),0),0)</f>
        <v>0</v>
      </c>
      <c r="S56" s="576">
        <f>IFERROR(IF(VLOOKUP(S$2,MODULY_CBA!$B$3:$N$23,13,0)&lt;=$D56,SUM(S$5:S$14)*VLOOKUP(S$2,MODULY_CBA!$B$3:$M$23,12,0),0),0)</f>
        <v>0</v>
      </c>
      <c r="T56" s="576">
        <f>IFERROR(IF(VLOOKUP(T$2,MODULY_CBA!$B$3:$N$23,13,0)&lt;=$D56,SUM(T$5:T$14)*VLOOKUP(T$2,MODULY_CBA!$B$3:$M$23,12,0),0),0)</f>
        <v>0</v>
      </c>
      <c r="U56" s="576">
        <f>IFERROR(IF(VLOOKUP(U$2,MODULY_CBA!$B$3:$N$23,13,0)&lt;=$D56,SUM(U$5:U$14)*VLOOKUP(U$2,MODULY_CBA!$B$3:$M$23,12,0),0),0)</f>
        <v>0</v>
      </c>
      <c r="V56" s="576">
        <f>IFERROR(IF(VLOOKUP(V$2,MODULY_CBA!$B$3:$N$23,13,0)&lt;=$D56,SUM(V$5:V$14)*VLOOKUP(V$2,MODULY_CBA!$B$3:$M$23,12,0),0),0)</f>
        <v>0</v>
      </c>
      <c r="W56" s="576">
        <f>IFERROR(IF(VLOOKUP(W$2,MODULY_CBA!$B$3:$N$23,13,0)&lt;=$D56,SUM(W$5:W$14)*VLOOKUP(W$2,MODULY_CBA!$B$3:$M$23,12,0),0),0)</f>
        <v>0</v>
      </c>
      <c r="X56" s="576">
        <f>IFERROR(IF(VLOOKUP(X$2,MODULY_CBA!$B$3:$N$23,13,0)&lt;=$D56,SUM(X$5:X$14)*VLOOKUP(X$2,MODULY_CBA!$B$3:$M$23,12,0),0),0)</f>
        <v>0</v>
      </c>
      <c r="Y56" s="576">
        <f>IFERROR(IF(VLOOKUP(Y$2,MODULY_CBA!$B$3:$N$23,13,0)&lt;=$D56,SUM(Y$5:Y$14)*VLOOKUP(Y$2,MODULY_CBA!$B$3:$M$23,12,0),0),0)</f>
        <v>0</v>
      </c>
      <c r="Z56" s="576">
        <f>IFERROR(IF(VLOOKUP(Z$2,MODULY_CBA!$B$3:$N$23,13,0)&lt;=$D56,SUM(Z$5:Z$14)*VLOOKUP(Z$2,MODULY_CBA!$B$3:$M$23,12,0),0),0)</f>
        <v>0</v>
      </c>
    </row>
    <row r="57" spans="1:26" outlineLevel="1">
      <c r="A57" s="824"/>
      <c r="B57" s="825"/>
      <c r="C57" s="825"/>
      <c r="D57" s="498">
        <v>2</v>
      </c>
      <c r="E57" s="68">
        <f t="shared" si="7"/>
        <v>258000</v>
      </c>
      <c r="F57" s="577">
        <v>258000</v>
      </c>
      <c r="G57" s="577">
        <f>IFERROR(IF(VLOOKUP(G$2,MODULY_CBA!$B$3:$N$23,13,0)&lt;=$D57,SUM(G$5:G$14)*VLOOKUP(G$2,MODULY_CBA!$B$3:$M$23,12,0),0),0)</f>
        <v>0</v>
      </c>
      <c r="H57" s="577">
        <f>IFERROR(IF(VLOOKUP(H$2,MODULY_CBA!$B$3:$N$23,13,0)&lt;=$D57,SUM(H$5:H$14)*VLOOKUP(H$2,MODULY_CBA!$B$3:$M$23,12,0),0),0)</f>
        <v>0</v>
      </c>
      <c r="I57" s="577">
        <f>IFERROR(IF(VLOOKUP(I$2,MODULY_CBA!$B$3:$N$23,13,0)&lt;=$D57,SUM(I$5:I$14)*VLOOKUP(I$2,MODULY_CBA!$B$3:$M$23,12,0),0),0)</f>
        <v>0</v>
      </c>
      <c r="J57" s="577">
        <f>IFERROR(IF(VLOOKUP(J$2,MODULY_CBA!$B$3:$N$23,13,0)&lt;=$D57,SUM(J$5:J$14)*VLOOKUP(J$2,MODULY_CBA!$B$3:$M$23,12,0),0),0)</f>
        <v>0</v>
      </c>
      <c r="K57" s="577">
        <f>IFERROR(IF(VLOOKUP(K$2,MODULY_CBA!$B$3:$N$23,13,0)&lt;=$D57,SUM(K$5:K$14)*VLOOKUP(K$2,MODULY_CBA!$B$3:$M$23,12,0),0),0)</f>
        <v>0</v>
      </c>
      <c r="L57" s="577">
        <f>IFERROR(IF(VLOOKUP(L$2,MODULY_CBA!$B$3:$N$23,13,0)&lt;=$D57,SUM(L$5:L$14)*VLOOKUP(L$2,MODULY_CBA!$B$3:$M$23,12,0),0),0)</f>
        <v>0</v>
      </c>
      <c r="M57" s="577">
        <f>IFERROR(IF(VLOOKUP(M$2,MODULY_CBA!$B$3:$N$23,13,0)&lt;=$D57,SUM(M$5:M$14)*VLOOKUP(M$2,MODULY_CBA!$B$3:$M$23,12,0),0),0)</f>
        <v>0</v>
      </c>
      <c r="N57" s="577">
        <f>IFERROR(IF(VLOOKUP(N$2,MODULY_CBA!$B$3:$N$23,13,0)&lt;=$D57,SUM(N$5:N$14)*VLOOKUP(N$2,MODULY_CBA!$B$3:$M$23,12,0),0),0)</f>
        <v>0</v>
      </c>
      <c r="O57" s="577">
        <f>IFERROR(IF(VLOOKUP(O$2,MODULY_CBA!$B$3:$N$23,13,0)&lt;=$D57,SUM(O$5:O$14)*VLOOKUP(O$2,MODULY_CBA!$B$3:$M$23,12,0),0),0)</f>
        <v>0</v>
      </c>
      <c r="P57" s="577">
        <f>IFERROR(IF(VLOOKUP(P$2,MODULY_CBA!$B$3:$N$23,13,0)&lt;=$D57,SUM(P$5:P$14)*VLOOKUP(P$2,MODULY_CBA!$B$3:$M$23,12,0),0),0)</f>
        <v>0</v>
      </c>
      <c r="Q57" s="577">
        <f>IFERROR(IF(VLOOKUP(Q$2,MODULY_CBA!$B$3:$N$23,13,0)&lt;=$D57,SUM(Q$5:Q$14)*VLOOKUP(Q$2,MODULY_CBA!$B$3:$M$23,12,0),0),0)</f>
        <v>0</v>
      </c>
      <c r="R57" s="577">
        <f>IFERROR(IF(VLOOKUP(R$2,MODULY_CBA!$B$3:$N$23,13,0)&lt;=$D57,SUM(R$5:R$14)*VLOOKUP(R$2,MODULY_CBA!$B$3:$M$23,12,0),0),0)</f>
        <v>0</v>
      </c>
      <c r="S57" s="577">
        <f>IFERROR(IF(VLOOKUP(S$2,MODULY_CBA!$B$3:$N$23,13,0)&lt;=$D57,SUM(S$5:S$14)*VLOOKUP(S$2,MODULY_CBA!$B$3:$M$23,12,0),0),0)</f>
        <v>0</v>
      </c>
      <c r="T57" s="577">
        <f>IFERROR(IF(VLOOKUP(T$2,MODULY_CBA!$B$3:$N$23,13,0)&lt;=$D57,SUM(T$5:T$14)*VLOOKUP(T$2,MODULY_CBA!$B$3:$M$23,12,0),0),0)</f>
        <v>0</v>
      </c>
      <c r="U57" s="577">
        <f>IFERROR(IF(VLOOKUP(U$2,MODULY_CBA!$B$3:$N$23,13,0)&lt;=$D57,SUM(U$5:U$14)*VLOOKUP(U$2,MODULY_CBA!$B$3:$M$23,12,0),0),0)</f>
        <v>0</v>
      </c>
      <c r="V57" s="577">
        <f>IFERROR(IF(VLOOKUP(V$2,MODULY_CBA!$B$3:$N$23,13,0)&lt;=$D57,SUM(V$5:V$14)*VLOOKUP(V$2,MODULY_CBA!$B$3:$M$23,12,0),0),0)</f>
        <v>0</v>
      </c>
      <c r="W57" s="577">
        <f>IFERROR(IF(VLOOKUP(W$2,MODULY_CBA!$B$3:$N$23,13,0)&lt;=$D57,SUM(W$5:W$14)*VLOOKUP(W$2,MODULY_CBA!$B$3:$M$23,12,0),0),0)</f>
        <v>0</v>
      </c>
      <c r="X57" s="577">
        <f>IFERROR(IF(VLOOKUP(X$2,MODULY_CBA!$B$3:$N$23,13,0)&lt;=$D57,SUM(X$5:X$14)*VLOOKUP(X$2,MODULY_CBA!$B$3:$M$23,12,0),0),0)</f>
        <v>0</v>
      </c>
      <c r="Y57" s="577">
        <f>IFERROR(IF(VLOOKUP(Y$2,MODULY_CBA!$B$3:$N$23,13,0)&lt;=$D57,SUM(Y$5:Y$14)*VLOOKUP(Y$2,MODULY_CBA!$B$3:$M$23,12,0),0),0)</f>
        <v>0</v>
      </c>
      <c r="Z57" s="577">
        <f>IFERROR(IF(VLOOKUP(Z$2,MODULY_CBA!$B$3:$N$23,13,0)&lt;=$D57,SUM(Z$5:Z$14)*VLOOKUP(Z$2,MODULY_CBA!$B$3:$M$23,12,0),0),0)</f>
        <v>0</v>
      </c>
    </row>
    <row r="58" spans="1:26" outlineLevel="1">
      <c r="A58" s="824"/>
      <c r="B58" s="825"/>
      <c r="C58" s="825"/>
      <c r="D58" s="498">
        <v>3</v>
      </c>
      <c r="E58" s="68">
        <f t="shared" si="7"/>
        <v>258000</v>
      </c>
      <c r="F58" s="577">
        <v>258000</v>
      </c>
      <c r="G58" s="577">
        <f>IFERROR(IF(VLOOKUP(G$2,MODULY_CBA!$B$3:$N$23,13,0)&lt;=$D58,SUM(G$5:G$14)*VLOOKUP(G$2,MODULY_CBA!$B$3:$M$23,12,0),0),0)</f>
        <v>0</v>
      </c>
      <c r="H58" s="577">
        <f>IFERROR(IF(VLOOKUP(H$2,MODULY_CBA!$B$3:$N$23,13,0)&lt;=$D58,SUM(H$5:H$14)*VLOOKUP(H$2,MODULY_CBA!$B$3:$M$23,12,0),0),0)</f>
        <v>0</v>
      </c>
      <c r="I58" s="577">
        <f>IFERROR(IF(VLOOKUP(I$2,MODULY_CBA!$B$3:$N$23,13,0)&lt;=$D58,SUM(I$5:I$14)*VLOOKUP(I$2,MODULY_CBA!$B$3:$M$23,12,0),0),0)</f>
        <v>0</v>
      </c>
      <c r="J58" s="577">
        <f>IFERROR(IF(VLOOKUP(J$2,MODULY_CBA!$B$3:$N$23,13,0)&lt;=$D58,SUM(J$5:J$14)*VLOOKUP(J$2,MODULY_CBA!$B$3:$M$23,12,0),0),0)</f>
        <v>0</v>
      </c>
      <c r="K58" s="577">
        <f>IFERROR(IF(VLOOKUP(K$2,MODULY_CBA!$B$3:$N$23,13,0)&lt;=$D58,SUM(K$5:K$14)*VLOOKUP(K$2,MODULY_CBA!$B$3:$M$23,12,0),0),0)</f>
        <v>0</v>
      </c>
      <c r="L58" s="577">
        <f>IFERROR(IF(VLOOKUP(L$2,MODULY_CBA!$B$3:$N$23,13,0)&lt;=$D58,SUM(L$5:L$14)*VLOOKUP(L$2,MODULY_CBA!$B$3:$M$23,12,0),0),0)</f>
        <v>0</v>
      </c>
      <c r="M58" s="577">
        <f>IFERROR(IF(VLOOKUP(M$2,MODULY_CBA!$B$3:$N$23,13,0)&lt;=$D58,SUM(M$5:M$14)*VLOOKUP(M$2,MODULY_CBA!$B$3:$M$23,12,0),0),0)</f>
        <v>0</v>
      </c>
      <c r="N58" s="577">
        <f>IFERROR(IF(VLOOKUP(N$2,MODULY_CBA!$B$3:$N$23,13,0)&lt;=$D58,SUM(N$5:N$14)*VLOOKUP(N$2,MODULY_CBA!$B$3:$M$23,12,0),0),0)</f>
        <v>0</v>
      </c>
      <c r="O58" s="577">
        <f>IFERROR(IF(VLOOKUP(O$2,MODULY_CBA!$B$3:$N$23,13,0)&lt;=$D58,SUM(O$5:O$14)*VLOOKUP(O$2,MODULY_CBA!$B$3:$M$23,12,0),0),0)</f>
        <v>0</v>
      </c>
      <c r="P58" s="577">
        <f>IFERROR(IF(VLOOKUP(P$2,MODULY_CBA!$B$3:$N$23,13,0)&lt;=$D58,SUM(P$5:P$14)*VLOOKUP(P$2,MODULY_CBA!$B$3:$M$23,12,0),0),0)</f>
        <v>0</v>
      </c>
      <c r="Q58" s="577">
        <f>IFERROR(IF(VLOOKUP(Q$2,MODULY_CBA!$B$3:$N$23,13,0)&lt;=$D58,SUM(Q$5:Q$14)*VLOOKUP(Q$2,MODULY_CBA!$B$3:$M$23,12,0),0),0)</f>
        <v>0</v>
      </c>
      <c r="R58" s="577">
        <f>IFERROR(IF(VLOOKUP(R$2,MODULY_CBA!$B$3:$N$23,13,0)&lt;=$D58,SUM(R$5:R$14)*VLOOKUP(R$2,MODULY_CBA!$B$3:$M$23,12,0),0),0)</f>
        <v>0</v>
      </c>
      <c r="S58" s="577">
        <f>IFERROR(IF(VLOOKUP(S$2,MODULY_CBA!$B$3:$N$23,13,0)&lt;=$D58,SUM(S$5:S$14)*VLOOKUP(S$2,MODULY_CBA!$B$3:$M$23,12,0),0),0)</f>
        <v>0</v>
      </c>
      <c r="T58" s="577">
        <f>IFERROR(IF(VLOOKUP(T$2,MODULY_CBA!$B$3:$N$23,13,0)&lt;=$D58,SUM(T$5:T$14)*VLOOKUP(T$2,MODULY_CBA!$B$3:$M$23,12,0),0),0)</f>
        <v>0</v>
      </c>
      <c r="U58" s="577">
        <f>IFERROR(IF(VLOOKUP(U$2,MODULY_CBA!$B$3:$N$23,13,0)&lt;=$D58,SUM(U$5:U$14)*VLOOKUP(U$2,MODULY_CBA!$B$3:$M$23,12,0),0),0)</f>
        <v>0</v>
      </c>
      <c r="V58" s="577">
        <f>IFERROR(IF(VLOOKUP(V$2,MODULY_CBA!$B$3:$N$23,13,0)&lt;=$D58,SUM(V$5:V$14)*VLOOKUP(V$2,MODULY_CBA!$B$3:$M$23,12,0),0),0)</f>
        <v>0</v>
      </c>
      <c r="W58" s="577">
        <f>IFERROR(IF(VLOOKUP(W$2,MODULY_CBA!$B$3:$N$23,13,0)&lt;=$D58,SUM(W$5:W$14)*VLOOKUP(W$2,MODULY_CBA!$B$3:$M$23,12,0),0),0)</f>
        <v>0</v>
      </c>
      <c r="X58" s="577">
        <f>IFERROR(IF(VLOOKUP(X$2,MODULY_CBA!$B$3:$N$23,13,0)&lt;=$D58,SUM(X$5:X$14)*VLOOKUP(X$2,MODULY_CBA!$B$3:$M$23,12,0),0),0)</f>
        <v>0</v>
      </c>
      <c r="Y58" s="577">
        <f>IFERROR(IF(VLOOKUP(Y$2,MODULY_CBA!$B$3:$N$23,13,0)&lt;=$D58,SUM(Y$5:Y$14)*VLOOKUP(Y$2,MODULY_CBA!$B$3:$M$23,12,0),0),0)</f>
        <v>0</v>
      </c>
      <c r="Z58" s="577">
        <f>IFERROR(IF(VLOOKUP(Z$2,MODULY_CBA!$B$3:$N$23,13,0)&lt;=$D58,SUM(Z$5:Z$14)*VLOOKUP(Z$2,MODULY_CBA!$B$3:$M$23,12,0),0),0)</f>
        <v>0</v>
      </c>
    </row>
    <row r="59" spans="1:26" outlineLevel="1">
      <c r="A59" s="824"/>
      <c r="B59" s="825"/>
      <c r="C59" s="825"/>
      <c r="D59" s="498">
        <v>4</v>
      </c>
      <c r="E59" s="68">
        <f t="shared" si="7"/>
        <v>258000</v>
      </c>
      <c r="F59" s="577">
        <v>258000</v>
      </c>
      <c r="G59" s="577">
        <f>IFERROR(IF(VLOOKUP(G$2,MODULY_CBA!$B$3:$N$23,13,0)&lt;=$D59,SUM(G$5:G$14)*VLOOKUP(G$2,MODULY_CBA!$B$3:$M$23,12,0),0),0)</f>
        <v>0</v>
      </c>
      <c r="H59" s="577">
        <f>IFERROR(IF(VLOOKUP(H$2,MODULY_CBA!$B$3:$N$23,13,0)&lt;=$D59,SUM(H$5:H$14)*VLOOKUP(H$2,MODULY_CBA!$B$3:$M$23,12,0),0),0)</f>
        <v>0</v>
      </c>
      <c r="I59" s="577">
        <f>IFERROR(IF(VLOOKUP(I$2,MODULY_CBA!$B$3:$N$23,13,0)&lt;=$D59,SUM(I$5:I$14)*VLOOKUP(I$2,MODULY_CBA!$B$3:$M$23,12,0),0),0)</f>
        <v>0</v>
      </c>
      <c r="J59" s="577">
        <f>IFERROR(IF(VLOOKUP(J$2,MODULY_CBA!$B$3:$N$23,13,0)&lt;=$D59,SUM(J$5:J$14)*VLOOKUP(J$2,MODULY_CBA!$B$3:$M$23,12,0),0),0)</f>
        <v>0</v>
      </c>
      <c r="K59" s="577">
        <f>IFERROR(IF(VLOOKUP(K$2,MODULY_CBA!$B$3:$N$23,13,0)&lt;=$D59,SUM(K$5:K$14)*VLOOKUP(K$2,MODULY_CBA!$B$3:$M$23,12,0),0),0)</f>
        <v>0</v>
      </c>
      <c r="L59" s="577">
        <f>IFERROR(IF(VLOOKUP(L$2,MODULY_CBA!$B$3:$N$23,13,0)&lt;=$D59,SUM(L$5:L$14)*VLOOKUP(L$2,MODULY_CBA!$B$3:$M$23,12,0),0),0)</f>
        <v>0</v>
      </c>
      <c r="M59" s="577">
        <f>IFERROR(IF(VLOOKUP(M$2,MODULY_CBA!$B$3:$N$23,13,0)&lt;=$D59,SUM(M$5:M$14)*VLOOKUP(M$2,MODULY_CBA!$B$3:$M$23,12,0),0),0)</f>
        <v>0</v>
      </c>
      <c r="N59" s="577">
        <f>IFERROR(IF(VLOOKUP(N$2,MODULY_CBA!$B$3:$N$23,13,0)&lt;=$D59,SUM(N$5:N$14)*VLOOKUP(N$2,MODULY_CBA!$B$3:$M$23,12,0),0),0)</f>
        <v>0</v>
      </c>
      <c r="O59" s="577">
        <f>IFERROR(IF(VLOOKUP(O$2,MODULY_CBA!$B$3:$N$23,13,0)&lt;=$D59,SUM(O$5:O$14)*VLOOKUP(O$2,MODULY_CBA!$B$3:$M$23,12,0),0),0)</f>
        <v>0</v>
      </c>
      <c r="P59" s="577">
        <f>IFERROR(IF(VLOOKUP(P$2,MODULY_CBA!$B$3:$N$23,13,0)&lt;=$D59,SUM(P$5:P$14)*VLOOKUP(P$2,MODULY_CBA!$B$3:$M$23,12,0),0),0)</f>
        <v>0</v>
      </c>
      <c r="Q59" s="577">
        <f>IFERROR(IF(VLOOKUP(Q$2,MODULY_CBA!$B$3:$N$23,13,0)&lt;=$D59,SUM(Q$5:Q$14)*VLOOKUP(Q$2,MODULY_CBA!$B$3:$M$23,12,0),0),0)</f>
        <v>0</v>
      </c>
      <c r="R59" s="577">
        <f>IFERROR(IF(VLOOKUP(R$2,MODULY_CBA!$B$3:$N$23,13,0)&lt;=$D59,SUM(R$5:R$14)*VLOOKUP(R$2,MODULY_CBA!$B$3:$M$23,12,0),0),0)</f>
        <v>0</v>
      </c>
      <c r="S59" s="577">
        <f>IFERROR(IF(VLOOKUP(S$2,MODULY_CBA!$B$3:$N$23,13,0)&lt;=$D59,SUM(S$5:S$14)*VLOOKUP(S$2,MODULY_CBA!$B$3:$M$23,12,0),0),0)</f>
        <v>0</v>
      </c>
      <c r="T59" s="577">
        <f>IFERROR(IF(VLOOKUP(T$2,MODULY_CBA!$B$3:$N$23,13,0)&lt;=$D59,SUM(T$5:T$14)*VLOOKUP(T$2,MODULY_CBA!$B$3:$M$23,12,0),0),0)</f>
        <v>0</v>
      </c>
      <c r="U59" s="577">
        <f>IFERROR(IF(VLOOKUP(U$2,MODULY_CBA!$B$3:$N$23,13,0)&lt;=$D59,SUM(U$5:U$14)*VLOOKUP(U$2,MODULY_CBA!$B$3:$M$23,12,0),0),0)</f>
        <v>0</v>
      </c>
      <c r="V59" s="577">
        <f>IFERROR(IF(VLOOKUP(V$2,MODULY_CBA!$B$3:$N$23,13,0)&lt;=$D59,SUM(V$5:V$14)*VLOOKUP(V$2,MODULY_CBA!$B$3:$M$23,12,0),0),0)</f>
        <v>0</v>
      </c>
      <c r="W59" s="577">
        <f>IFERROR(IF(VLOOKUP(W$2,MODULY_CBA!$B$3:$N$23,13,0)&lt;=$D59,SUM(W$5:W$14)*VLOOKUP(W$2,MODULY_CBA!$B$3:$M$23,12,0),0),0)</f>
        <v>0</v>
      </c>
      <c r="X59" s="577">
        <f>IFERROR(IF(VLOOKUP(X$2,MODULY_CBA!$B$3:$N$23,13,0)&lt;=$D59,SUM(X$5:X$14)*VLOOKUP(X$2,MODULY_CBA!$B$3:$M$23,12,0),0),0)</f>
        <v>0</v>
      </c>
      <c r="Y59" s="577">
        <f>IFERROR(IF(VLOOKUP(Y$2,MODULY_CBA!$B$3:$N$23,13,0)&lt;=$D59,SUM(Y$5:Y$14)*VLOOKUP(Y$2,MODULY_CBA!$B$3:$M$23,12,0),0),0)</f>
        <v>0</v>
      </c>
      <c r="Z59" s="577">
        <f>IFERROR(IF(VLOOKUP(Z$2,MODULY_CBA!$B$3:$N$23,13,0)&lt;=$D59,SUM(Z$5:Z$14)*VLOOKUP(Z$2,MODULY_CBA!$B$3:$M$23,12,0),0),0)</f>
        <v>0</v>
      </c>
    </row>
    <row r="60" spans="1:26" outlineLevel="1">
      <c r="A60" s="824"/>
      <c r="B60" s="825"/>
      <c r="C60" s="825"/>
      <c r="D60" s="498">
        <v>5</v>
      </c>
      <c r="E60" s="68">
        <f t="shared" si="7"/>
        <v>258000</v>
      </c>
      <c r="F60" s="577">
        <v>258000</v>
      </c>
      <c r="G60" s="577">
        <f>IFERROR(IF(VLOOKUP(G$2,MODULY_CBA!$B$3:$N$23,13,0)&lt;=$D60,SUM(G$5:G$14)*VLOOKUP(G$2,MODULY_CBA!$B$3:$M$23,12,0),0),0)</f>
        <v>0</v>
      </c>
      <c r="H60" s="577">
        <f>IFERROR(IF(VLOOKUP(H$2,MODULY_CBA!$B$3:$N$23,13,0)&lt;=$D60,SUM(H$5:H$14)*VLOOKUP(H$2,MODULY_CBA!$B$3:$M$23,12,0),0),0)</f>
        <v>0</v>
      </c>
      <c r="I60" s="577">
        <f>IFERROR(IF(VLOOKUP(I$2,MODULY_CBA!$B$3:$N$23,13,0)&lt;=$D60,SUM(I$5:I$14)*VLOOKUP(I$2,MODULY_CBA!$B$3:$M$23,12,0),0),0)</f>
        <v>0</v>
      </c>
      <c r="J60" s="577">
        <f>IFERROR(IF(VLOOKUP(J$2,MODULY_CBA!$B$3:$N$23,13,0)&lt;=$D60,SUM(J$5:J$14)*VLOOKUP(J$2,MODULY_CBA!$B$3:$M$23,12,0),0),0)</f>
        <v>0</v>
      </c>
      <c r="K60" s="577">
        <f>IFERROR(IF(VLOOKUP(K$2,MODULY_CBA!$B$3:$N$23,13,0)&lt;=$D60,SUM(K$5:K$14)*VLOOKUP(K$2,MODULY_CBA!$B$3:$M$23,12,0),0),0)</f>
        <v>0</v>
      </c>
      <c r="L60" s="577">
        <f>IFERROR(IF(VLOOKUP(L$2,MODULY_CBA!$B$3:$N$23,13,0)&lt;=$D60,SUM(L$5:L$14)*VLOOKUP(L$2,MODULY_CBA!$B$3:$M$23,12,0),0),0)</f>
        <v>0</v>
      </c>
      <c r="M60" s="577">
        <f>IFERROR(IF(VLOOKUP(M$2,MODULY_CBA!$B$3:$N$23,13,0)&lt;=$D60,SUM(M$5:M$14)*VLOOKUP(M$2,MODULY_CBA!$B$3:$M$23,12,0),0),0)</f>
        <v>0</v>
      </c>
      <c r="N60" s="577">
        <f>IFERROR(IF(VLOOKUP(N$2,MODULY_CBA!$B$3:$N$23,13,0)&lt;=$D60,SUM(N$5:N$14)*VLOOKUP(N$2,MODULY_CBA!$B$3:$M$23,12,0),0),0)</f>
        <v>0</v>
      </c>
      <c r="O60" s="577">
        <f>IFERROR(IF(VLOOKUP(O$2,MODULY_CBA!$B$3:$N$23,13,0)&lt;=$D60,SUM(O$5:O$14)*VLOOKUP(O$2,MODULY_CBA!$B$3:$M$23,12,0),0),0)</f>
        <v>0</v>
      </c>
      <c r="P60" s="577">
        <f>IFERROR(IF(VLOOKUP(P$2,MODULY_CBA!$B$3:$N$23,13,0)&lt;=$D60,SUM(P$5:P$14)*VLOOKUP(P$2,MODULY_CBA!$B$3:$M$23,12,0),0),0)</f>
        <v>0</v>
      </c>
      <c r="Q60" s="577">
        <f>IFERROR(IF(VLOOKUP(Q$2,MODULY_CBA!$B$3:$N$23,13,0)&lt;=$D60,SUM(Q$5:Q$14)*VLOOKUP(Q$2,MODULY_CBA!$B$3:$M$23,12,0),0),0)</f>
        <v>0</v>
      </c>
      <c r="R60" s="577">
        <f>IFERROR(IF(VLOOKUP(R$2,MODULY_CBA!$B$3:$N$23,13,0)&lt;=$D60,SUM(R$5:R$14)*VLOOKUP(R$2,MODULY_CBA!$B$3:$M$23,12,0),0),0)</f>
        <v>0</v>
      </c>
      <c r="S60" s="577">
        <f>IFERROR(IF(VLOOKUP(S$2,MODULY_CBA!$B$3:$N$23,13,0)&lt;=$D60,SUM(S$5:S$14)*VLOOKUP(S$2,MODULY_CBA!$B$3:$M$23,12,0),0),0)</f>
        <v>0</v>
      </c>
      <c r="T60" s="577">
        <f>IFERROR(IF(VLOOKUP(T$2,MODULY_CBA!$B$3:$N$23,13,0)&lt;=$D60,SUM(T$5:T$14)*VLOOKUP(T$2,MODULY_CBA!$B$3:$M$23,12,0),0),0)</f>
        <v>0</v>
      </c>
      <c r="U60" s="577">
        <f>IFERROR(IF(VLOOKUP(U$2,MODULY_CBA!$B$3:$N$23,13,0)&lt;=$D60,SUM(U$5:U$14)*VLOOKUP(U$2,MODULY_CBA!$B$3:$M$23,12,0),0),0)</f>
        <v>0</v>
      </c>
      <c r="V60" s="577">
        <f>IFERROR(IF(VLOOKUP(V$2,MODULY_CBA!$B$3:$N$23,13,0)&lt;=$D60,SUM(V$5:V$14)*VLOOKUP(V$2,MODULY_CBA!$B$3:$M$23,12,0),0),0)</f>
        <v>0</v>
      </c>
      <c r="W60" s="577">
        <f>IFERROR(IF(VLOOKUP(W$2,MODULY_CBA!$B$3:$N$23,13,0)&lt;=$D60,SUM(W$5:W$14)*VLOOKUP(W$2,MODULY_CBA!$B$3:$M$23,12,0),0),0)</f>
        <v>0</v>
      </c>
      <c r="X60" s="577">
        <f>IFERROR(IF(VLOOKUP(X$2,MODULY_CBA!$B$3:$N$23,13,0)&lt;=$D60,SUM(X$5:X$14)*VLOOKUP(X$2,MODULY_CBA!$B$3:$M$23,12,0),0),0)</f>
        <v>0</v>
      </c>
      <c r="Y60" s="577">
        <f>IFERROR(IF(VLOOKUP(Y$2,MODULY_CBA!$B$3:$N$23,13,0)&lt;=$D60,SUM(Y$5:Y$14)*VLOOKUP(Y$2,MODULY_CBA!$B$3:$M$23,12,0),0),0)</f>
        <v>0</v>
      </c>
      <c r="Z60" s="577">
        <f>IFERROR(IF(VLOOKUP(Z$2,MODULY_CBA!$B$3:$N$23,13,0)&lt;=$D60,SUM(Z$5:Z$14)*VLOOKUP(Z$2,MODULY_CBA!$B$3:$M$23,12,0),0),0)</f>
        <v>0</v>
      </c>
    </row>
    <row r="61" spans="1:26" outlineLevel="1">
      <c r="A61" s="824"/>
      <c r="B61" s="825"/>
      <c r="C61" s="825"/>
      <c r="D61" s="498">
        <v>6</v>
      </c>
      <c r="E61" s="68">
        <f t="shared" si="7"/>
        <v>258000</v>
      </c>
      <c r="F61" s="577">
        <v>258000</v>
      </c>
      <c r="G61" s="577">
        <f>IFERROR(IF(VLOOKUP(G$2,MODULY_CBA!$B$3:$N$23,13,0)&lt;=$D61,SUM(G$5:G$14)*VLOOKUP(G$2,MODULY_CBA!$B$3:$M$23,12,0),0),0)</f>
        <v>0</v>
      </c>
      <c r="H61" s="577">
        <f>IFERROR(IF(VLOOKUP(H$2,MODULY_CBA!$B$3:$N$23,13,0)&lt;=$D61,SUM(H$5:H$14)*VLOOKUP(H$2,MODULY_CBA!$B$3:$M$23,12,0),0),0)</f>
        <v>0</v>
      </c>
      <c r="I61" s="577">
        <f>IFERROR(IF(VLOOKUP(I$2,MODULY_CBA!$B$3:$N$23,13,0)&lt;=$D61,SUM(I$5:I$14)*VLOOKUP(I$2,MODULY_CBA!$B$3:$M$23,12,0),0),0)</f>
        <v>0</v>
      </c>
      <c r="J61" s="577">
        <f>IFERROR(IF(VLOOKUP(J$2,MODULY_CBA!$B$3:$N$23,13,0)&lt;=$D61,SUM(J$5:J$14)*VLOOKUP(J$2,MODULY_CBA!$B$3:$M$23,12,0),0),0)</f>
        <v>0</v>
      </c>
      <c r="K61" s="577">
        <f>IFERROR(IF(VLOOKUP(K$2,MODULY_CBA!$B$3:$N$23,13,0)&lt;=$D61,SUM(K$5:K$14)*VLOOKUP(K$2,MODULY_CBA!$B$3:$M$23,12,0),0),0)</f>
        <v>0</v>
      </c>
      <c r="L61" s="577">
        <f>IFERROR(IF(VLOOKUP(L$2,MODULY_CBA!$B$3:$N$23,13,0)&lt;=$D61,SUM(L$5:L$14)*VLOOKUP(L$2,MODULY_CBA!$B$3:$M$23,12,0),0),0)</f>
        <v>0</v>
      </c>
      <c r="M61" s="577">
        <f>IFERROR(IF(VLOOKUP(M$2,MODULY_CBA!$B$3:$N$23,13,0)&lt;=$D61,SUM(M$5:M$14)*VLOOKUP(M$2,MODULY_CBA!$B$3:$M$23,12,0),0),0)</f>
        <v>0</v>
      </c>
      <c r="N61" s="577">
        <f>IFERROR(IF(VLOOKUP(N$2,MODULY_CBA!$B$3:$N$23,13,0)&lt;=$D61,SUM(N$5:N$14)*VLOOKUP(N$2,MODULY_CBA!$B$3:$M$23,12,0),0),0)</f>
        <v>0</v>
      </c>
      <c r="O61" s="577">
        <f>IFERROR(IF(VLOOKUP(O$2,MODULY_CBA!$B$3:$N$23,13,0)&lt;=$D61,SUM(O$5:O$14)*VLOOKUP(O$2,MODULY_CBA!$B$3:$M$23,12,0),0),0)</f>
        <v>0</v>
      </c>
      <c r="P61" s="577">
        <f>IFERROR(IF(VLOOKUP(P$2,MODULY_CBA!$B$3:$N$23,13,0)&lt;=$D61,SUM(P$5:P$14)*VLOOKUP(P$2,MODULY_CBA!$B$3:$M$23,12,0),0),0)</f>
        <v>0</v>
      </c>
      <c r="Q61" s="577">
        <f>IFERROR(IF(VLOOKUP(Q$2,MODULY_CBA!$B$3:$N$23,13,0)&lt;=$D61,SUM(Q$5:Q$14)*VLOOKUP(Q$2,MODULY_CBA!$B$3:$M$23,12,0),0),0)</f>
        <v>0</v>
      </c>
      <c r="R61" s="577">
        <f>IFERROR(IF(VLOOKUP(R$2,MODULY_CBA!$B$3:$N$23,13,0)&lt;=$D61,SUM(R$5:R$14)*VLOOKUP(R$2,MODULY_CBA!$B$3:$M$23,12,0),0),0)</f>
        <v>0</v>
      </c>
      <c r="S61" s="577">
        <f>IFERROR(IF(VLOOKUP(S$2,MODULY_CBA!$B$3:$N$23,13,0)&lt;=$D61,SUM(S$5:S$14)*VLOOKUP(S$2,MODULY_CBA!$B$3:$M$23,12,0),0),0)</f>
        <v>0</v>
      </c>
      <c r="T61" s="577">
        <f>IFERROR(IF(VLOOKUP(T$2,MODULY_CBA!$B$3:$N$23,13,0)&lt;=$D61,SUM(T$5:T$14)*VLOOKUP(T$2,MODULY_CBA!$B$3:$M$23,12,0),0),0)</f>
        <v>0</v>
      </c>
      <c r="U61" s="577">
        <f>IFERROR(IF(VLOOKUP(U$2,MODULY_CBA!$B$3:$N$23,13,0)&lt;=$D61,SUM(U$5:U$14)*VLOOKUP(U$2,MODULY_CBA!$B$3:$M$23,12,0),0),0)</f>
        <v>0</v>
      </c>
      <c r="V61" s="577">
        <f>IFERROR(IF(VLOOKUP(V$2,MODULY_CBA!$B$3:$N$23,13,0)&lt;=$D61,SUM(V$5:V$14)*VLOOKUP(V$2,MODULY_CBA!$B$3:$M$23,12,0),0),0)</f>
        <v>0</v>
      </c>
      <c r="W61" s="577">
        <f>IFERROR(IF(VLOOKUP(W$2,MODULY_CBA!$B$3:$N$23,13,0)&lt;=$D61,SUM(W$5:W$14)*VLOOKUP(W$2,MODULY_CBA!$B$3:$M$23,12,0),0),0)</f>
        <v>0</v>
      </c>
      <c r="X61" s="577">
        <f>IFERROR(IF(VLOOKUP(X$2,MODULY_CBA!$B$3:$N$23,13,0)&lt;=$D61,SUM(X$5:X$14)*VLOOKUP(X$2,MODULY_CBA!$B$3:$M$23,12,0),0),0)</f>
        <v>0</v>
      </c>
      <c r="Y61" s="577">
        <f>IFERROR(IF(VLOOKUP(Y$2,MODULY_CBA!$B$3:$N$23,13,0)&lt;=$D61,SUM(Y$5:Y$14)*VLOOKUP(Y$2,MODULY_CBA!$B$3:$M$23,12,0),0),0)</f>
        <v>0</v>
      </c>
      <c r="Z61" s="577">
        <f>IFERROR(IF(VLOOKUP(Z$2,MODULY_CBA!$B$3:$N$23,13,0)&lt;=$D61,SUM(Z$5:Z$14)*VLOOKUP(Z$2,MODULY_CBA!$B$3:$M$23,12,0),0),0)</f>
        <v>0</v>
      </c>
    </row>
    <row r="62" spans="1:26" outlineLevel="1">
      <c r="A62" s="824"/>
      <c r="B62" s="825"/>
      <c r="C62" s="825"/>
      <c r="D62" s="498">
        <v>7</v>
      </c>
      <c r="E62" s="68">
        <f t="shared" si="7"/>
        <v>258000</v>
      </c>
      <c r="F62" s="577">
        <v>258000</v>
      </c>
      <c r="G62" s="577">
        <f>IFERROR(IF(VLOOKUP(G$2,MODULY_CBA!$B$3:$N$23,13,0)&lt;=$D62,SUM(G$5:G$14)*VLOOKUP(G$2,MODULY_CBA!$B$3:$M$23,12,0),0),0)</f>
        <v>0</v>
      </c>
      <c r="H62" s="577">
        <f>IFERROR(IF(VLOOKUP(H$2,MODULY_CBA!$B$3:$N$23,13,0)&lt;=$D62,SUM(H$5:H$14)*VLOOKUP(H$2,MODULY_CBA!$B$3:$M$23,12,0),0),0)</f>
        <v>0</v>
      </c>
      <c r="I62" s="577">
        <f>IFERROR(IF(VLOOKUP(I$2,MODULY_CBA!$B$3:$N$23,13,0)&lt;=$D62,SUM(I$5:I$14)*VLOOKUP(I$2,MODULY_CBA!$B$3:$M$23,12,0),0),0)</f>
        <v>0</v>
      </c>
      <c r="J62" s="577">
        <f>IFERROR(IF(VLOOKUP(J$2,MODULY_CBA!$B$3:$N$23,13,0)&lt;=$D62,SUM(J$5:J$14)*VLOOKUP(J$2,MODULY_CBA!$B$3:$M$23,12,0),0),0)</f>
        <v>0</v>
      </c>
      <c r="K62" s="577">
        <f>IFERROR(IF(VLOOKUP(K$2,MODULY_CBA!$B$3:$N$23,13,0)&lt;=$D62,SUM(K$5:K$14)*VLOOKUP(K$2,MODULY_CBA!$B$3:$M$23,12,0),0),0)</f>
        <v>0</v>
      </c>
      <c r="L62" s="577">
        <f>IFERROR(IF(VLOOKUP(L$2,MODULY_CBA!$B$3:$N$23,13,0)&lt;=$D62,SUM(L$5:L$14)*VLOOKUP(L$2,MODULY_CBA!$B$3:$M$23,12,0),0),0)</f>
        <v>0</v>
      </c>
      <c r="M62" s="577">
        <f>IFERROR(IF(VLOOKUP(M$2,MODULY_CBA!$B$3:$N$23,13,0)&lt;=$D62,SUM(M$5:M$14)*VLOOKUP(M$2,MODULY_CBA!$B$3:$M$23,12,0),0),0)</f>
        <v>0</v>
      </c>
      <c r="N62" s="577">
        <f>IFERROR(IF(VLOOKUP(N$2,MODULY_CBA!$B$3:$N$23,13,0)&lt;=$D62,SUM(N$5:N$14)*VLOOKUP(N$2,MODULY_CBA!$B$3:$M$23,12,0),0),0)</f>
        <v>0</v>
      </c>
      <c r="O62" s="577">
        <f>IFERROR(IF(VLOOKUP(O$2,MODULY_CBA!$B$3:$N$23,13,0)&lt;=$D62,SUM(O$5:O$14)*VLOOKUP(O$2,MODULY_CBA!$B$3:$M$23,12,0),0),0)</f>
        <v>0</v>
      </c>
      <c r="P62" s="577">
        <f>IFERROR(IF(VLOOKUP(P$2,MODULY_CBA!$B$3:$N$23,13,0)&lt;=$D62,SUM(P$5:P$14)*VLOOKUP(P$2,MODULY_CBA!$B$3:$M$23,12,0),0),0)</f>
        <v>0</v>
      </c>
      <c r="Q62" s="577">
        <f>IFERROR(IF(VLOOKUP(Q$2,MODULY_CBA!$B$3:$N$23,13,0)&lt;=$D62,SUM(Q$5:Q$14)*VLOOKUP(Q$2,MODULY_CBA!$B$3:$M$23,12,0),0),0)</f>
        <v>0</v>
      </c>
      <c r="R62" s="577">
        <f>IFERROR(IF(VLOOKUP(R$2,MODULY_CBA!$B$3:$N$23,13,0)&lt;=$D62,SUM(R$5:R$14)*VLOOKUP(R$2,MODULY_CBA!$B$3:$M$23,12,0),0),0)</f>
        <v>0</v>
      </c>
      <c r="S62" s="577">
        <f>IFERROR(IF(VLOOKUP(S$2,MODULY_CBA!$B$3:$N$23,13,0)&lt;=$D62,SUM(S$5:S$14)*VLOOKUP(S$2,MODULY_CBA!$B$3:$M$23,12,0),0),0)</f>
        <v>0</v>
      </c>
      <c r="T62" s="577">
        <f>IFERROR(IF(VLOOKUP(T$2,MODULY_CBA!$B$3:$N$23,13,0)&lt;=$D62,SUM(T$5:T$14)*VLOOKUP(T$2,MODULY_CBA!$B$3:$M$23,12,0),0),0)</f>
        <v>0</v>
      </c>
      <c r="U62" s="577">
        <f>IFERROR(IF(VLOOKUP(U$2,MODULY_CBA!$B$3:$N$23,13,0)&lt;=$D62,SUM(U$5:U$14)*VLOOKUP(U$2,MODULY_CBA!$B$3:$M$23,12,0),0),0)</f>
        <v>0</v>
      </c>
      <c r="V62" s="577">
        <f>IFERROR(IF(VLOOKUP(V$2,MODULY_CBA!$B$3:$N$23,13,0)&lt;=$D62,SUM(V$5:V$14)*VLOOKUP(V$2,MODULY_CBA!$B$3:$M$23,12,0),0),0)</f>
        <v>0</v>
      </c>
      <c r="W62" s="577">
        <f>IFERROR(IF(VLOOKUP(W$2,MODULY_CBA!$B$3:$N$23,13,0)&lt;=$D62,SUM(W$5:W$14)*VLOOKUP(W$2,MODULY_CBA!$B$3:$M$23,12,0),0),0)</f>
        <v>0</v>
      </c>
      <c r="X62" s="577">
        <f>IFERROR(IF(VLOOKUP(X$2,MODULY_CBA!$B$3:$N$23,13,0)&lt;=$D62,SUM(X$5:X$14)*VLOOKUP(X$2,MODULY_CBA!$B$3:$M$23,12,0),0),0)</f>
        <v>0</v>
      </c>
      <c r="Y62" s="577">
        <f>IFERROR(IF(VLOOKUP(Y$2,MODULY_CBA!$B$3:$N$23,13,0)&lt;=$D62,SUM(Y$5:Y$14)*VLOOKUP(Y$2,MODULY_CBA!$B$3:$M$23,12,0),0),0)</f>
        <v>0</v>
      </c>
      <c r="Z62" s="577">
        <f>IFERROR(IF(VLOOKUP(Z$2,MODULY_CBA!$B$3:$N$23,13,0)&lt;=$D62,SUM(Z$5:Z$14)*VLOOKUP(Z$2,MODULY_CBA!$B$3:$M$23,12,0),0),0)</f>
        <v>0</v>
      </c>
    </row>
    <row r="63" spans="1:26" outlineLevel="1">
      <c r="A63" s="824"/>
      <c r="B63" s="825"/>
      <c r="C63" s="825"/>
      <c r="D63" s="498">
        <v>8</v>
      </c>
      <c r="E63" s="68">
        <f t="shared" si="7"/>
        <v>258000</v>
      </c>
      <c r="F63" s="577">
        <v>258000</v>
      </c>
      <c r="G63" s="577">
        <f>IFERROR(IF(VLOOKUP(G$2,MODULY_CBA!$B$3:$N$23,13,0)&lt;=$D63,SUM(G$5:G$14)*VLOOKUP(G$2,MODULY_CBA!$B$3:$M$23,12,0),0),0)</f>
        <v>0</v>
      </c>
      <c r="H63" s="577">
        <f>IFERROR(IF(VLOOKUP(H$2,MODULY_CBA!$B$3:$N$23,13,0)&lt;=$D63,SUM(H$5:H$14)*VLOOKUP(H$2,MODULY_CBA!$B$3:$M$23,12,0),0),0)</f>
        <v>0</v>
      </c>
      <c r="I63" s="577">
        <f>IFERROR(IF(VLOOKUP(I$2,MODULY_CBA!$B$3:$N$23,13,0)&lt;=$D63,SUM(I$5:I$14)*VLOOKUP(I$2,MODULY_CBA!$B$3:$M$23,12,0),0),0)</f>
        <v>0</v>
      </c>
      <c r="J63" s="577">
        <f>IFERROR(IF(VLOOKUP(J$2,MODULY_CBA!$B$3:$N$23,13,0)&lt;=$D63,SUM(J$5:J$14)*VLOOKUP(J$2,MODULY_CBA!$B$3:$M$23,12,0),0),0)</f>
        <v>0</v>
      </c>
      <c r="K63" s="577">
        <f>IFERROR(IF(VLOOKUP(K$2,MODULY_CBA!$B$3:$N$23,13,0)&lt;=$D63,SUM(K$5:K$14)*VLOOKUP(K$2,MODULY_CBA!$B$3:$M$23,12,0),0),0)</f>
        <v>0</v>
      </c>
      <c r="L63" s="577">
        <f>IFERROR(IF(VLOOKUP(L$2,MODULY_CBA!$B$3:$N$23,13,0)&lt;=$D63,SUM(L$5:L$14)*VLOOKUP(L$2,MODULY_CBA!$B$3:$M$23,12,0),0),0)</f>
        <v>0</v>
      </c>
      <c r="M63" s="577">
        <f>IFERROR(IF(VLOOKUP(M$2,MODULY_CBA!$B$3:$N$23,13,0)&lt;=$D63,SUM(M$5:M$14)*VLOOKUP(M$2,MODULY_CBA!$B$3:$M$23,12,0),0),0)</f>
        <v>0</v>
      </c>
      <c r="N63" s="577">
        <f>IFERROR(IF(VLOOKUP(N$2,MODULY_CBA!$B$3:$N$23,13,0)&lt;=$D63,SUM(N$5:N$14)*VLOOKUP(N$2,MODULY_CBA!$B$3:$M$23,12,0),0),0)</f>
        <v>0</v>
      </c>
      <c r="O63" s="577">
        <f>IFERROR(IF(VLOOKUP(O$2,MODULY_CBA!$B$3:$N$23,13,0)&lt;=$D63,SUM(O$5:O$14)*VLOOKUP(O$2,MODULY_CBA!$B$3:$M$23,12,0),0),0)</f>
        <v>0</v>
      </c>
      <c r="P63" s="577">
        <f>IFERROR(IF(VLOOKUP(P$2,MODULY_CBA!$B$3:$N$23,13,0)&lt;=$D63,SUM(P$5:P$14)*VLOOKUP(P$2,MODULY_CBA!$B$3:$M$23,12,0),0),0)</f>
        <v>0</v>
      </c>
      <c r="Q63" s="577">
        <f>IFERROR(IF(VLOOKUP(Q$2,MODULY_CBA!$B$3:$N$23,13,0)&lt;=$D63,SUM(Q$5:Q$14)*VLOOKUP(Q$2,MODULY_CBA!$B$3:$M$23,12,0),0),0)</f>
        <v>0</v>
      </c>
      <c r="R63" s="577">
        <f>IFERROR(IF(VLOOKUP(R$2,MODULY_CBA!$B$3:$N$23,13,0)&lt;=$D63,SUM(R$5:R$14)*VLOOKUP(R$2,MODULY_CBA!$B$3:$M$23,12,0),0),0)</f>
        <v>0</v>
      </c>
      <c r="S63" s="577">
        <f>IFERROR(IF(VLOOKUP(S$2,MODULY_CBA!$B$3:$N$23,13,0)&lt;=$D63,SUM(S$5:S$14)*VLOOKUP(S$2,MODULY_CBA!$B$3:$M$23,12,0),0),0)</f>
        <v>0</v>
      </c>
      <c r="T63" s="577">
        <f>IFERROR(IF(VLOOKUP(T$2,MODULY_CBA!$B$3:$N$23,13,0)&lt;=$D63,SUM(T$5:T$14)*VLOOKUP(T$2,MODULY_CBA!$B$3:$M$23,12,0),0),0)</f>
        <v>0</v>
      </c>
      <c r="U63" s="577">
        <f>IFERROR(IF(VLOOKUP(U$2,MODULY_CBA!$B$3:$N$23,13,0)&lt;=$D63,SUM(U$5:U$14)*VLOOKUP(U$2,MODULY_CBA!$B$3:$M$23,12,0),0),0)</f>
        <v>0</v>
      </c>
      <c r="V63" s="577">
        <f>IFERROR(IF(VLOOKUP(V$2,MODULY_CBA!$B$3:$N$23,13,0)&lt;=$D63,SUM(V$5:V$14)*VLOOKUP(V$2,MODULY_CBA!$B$3:$M$23,12,0),0),0)</f>
        <v>0</v>
      </c>
      <c r="W63" s="577">
        <f>IFERROR(IF(VLOOKUP(W$2,MODULY_CBA!$B$3:$N$23,13,0)&lt;=$D63,SUM(W$5:W$14)*VLOOKUP(W$2,MODULY_CBA!$B$3:$M$23,12,0),0),0)</f>
        <v>0</v>
      </c>
      <c r="X63" s="577">
        <f>IFERROR(IF(VLOOKUP(X$2,MODULY_CBA!$B$3:$N$23,13,0)&lt;=$D63,SUM(X$5:X$14)*VLOOKUP(X$2,MODULY_CBA!$B$3:$M$23,12,0),0),0)</f>
        <v>0</v>
      </c>
      <c r="Y63" s="577">
        <f>IFERROR(IF(VLOOKUP(Y$2,MODULY_CBA!$B$3:$N$23,13,0)&lt;=$D63,SUM(Y$5:Y$14)*VLOOKUP(Y$2,MODULY_CBA!$B$3:$M$23,12,0),0),0)</f>
        <v>0</v>
      </c>
      <c r="Z63" s="577">
        <f>IFERROR(IF(VLOOKUP(Z$2,MODULY_CBA!$B$3:$N$23,13,0)&lt;=$D63,SUM(Z$5:Z$14)*VLOOKUP(Z$2,MODULY_CBA!$B$3:$M$23,12,0),0),0)</f>
        <v>0</v>
      </c>
    </row>
    <row r="64" spans="1:26" outlineLevel="1">
      <c r="A64" s="824"/>
      <c r="B64" s="825"/>
      <c r="C64" s="825"/>
      <c r="D64" s="498">
        <v>9</v>
      </c>
      <c r="E64" s="68">
        <f t="shared" si="7"/>
        <v>258000</v>
      </c>
      <c r="F64" s="577">
        <v>258000</v>
      </c>
      <c r="G64" s="577">
        <f>IFERROR(IF(VLOOKUP(G$2,MODULY_CBA!$B$3:$N$23,13,0)&lt;=$D64,SUM(G$5:G$14)*VLOOKUP(G$2,MODULY_CBA!$B$3:$M$23,12,0),0),0)</f>
        <v>0</v>
      </c>
      <c r="H64" s="577">
        <f>IFERROR(IF(VLOOKUP(H$2,MODULY_CBA!$B$3:$N$23,13,0)&lt;=$D64,SUM(H$5:H$14)*VLOOKUP(H$2,MODULY_CBA!$B$3:$M$23,12,0),0),0)</f>
        <v>0</v>
      </c>
      <c r="I64" s="577">
        <f>IFERROR(IF(VLOOKUP(I$2,MODULY_CBA!$B$3:$N$23,13,0)&lt;=$D64,SUM(I$5:I$14)*VLOOKUP(I$2,MODULY_CBA!$B$3:$M$23,12,0),0),0)</f>
        <v>0</v>
      </c>
      <c r="J64" s="577">
        <f>IFERROR(IF(VLOOKUP(J$2,MODULY_CBA!$B$3:$N$23,13,0)&lt;=$D64,SUM(J$5:J$14)*VLOOKUP(J$2,MODULY_CBA!$B$3:$M$23,12,0),0),0)</f>
        <v>0</v>
      </c>
      <c r="K64" s="577">
        <f>IFERROR(IF(VLOOKUP(K$2,MODULY_CBA!$B$3:$N$23,13,0)&lt;=$D64,SUM(K$5:K$14)*VLOOKUP(K$2,MODULY_CBA!$B$3:$M$23,12,0),0),0)</f>
        <v>0</v>
      </c>
      <c r="L64" s="577">
        <f>IFERROR(IF(VLOOKUP(L$2,MODULY_CBA!$B$3:$N$23,13,0)&lt;=$D64,SUM(L$5:L$14)*VLOOKUP(L$2,MODULY_CBA!$B$3:$M$23,12,0),0),0)</f>
        <v>0</v>
      </c>
      <c r="M64" s="577">
        <f>IFERROR(IF(VLOOKUP(M$2,MODULY_CBA!$B$3:$N$23,13,0)&lt;=$D64,SUM(M$5:M$14)*VLOOKUP(M$2,MODULY_CBA!$B$3:$M$23,12,0),0),0)</f>
        <v>0</v>
      </c>
      <c r="N64" s="577">
        <f>IFERROR(IF(VLOOKUP(N$2,MODULY_CBA!$B$3:$N$23,13,0)&lt;=$D64,SUM(N$5:N$14)*VLOOKUP(N$2,MODULY_CBA!$B$3:$M$23,12,0),0),0)</f>
        <v>0</v>
      </c>
      <c r="O64" s="577">
        <f>IFERROR(IF(VLOOKUP(O$2,MODULY_CBA!$B$3:$N$23,13,0)&lt;=$D64,SUM(O$5:O$14)*VLOOKUP(O$2,MODULY_CBA!$B$3:$M$23,12,0),0),0)</f>
        <v>0</v>
      </c>
      <c r="P64" s="577">
        <f>IFERROR(IF(VLOOKUP(P$2,MODULY_CBA!$B$3:$N$23,13,0)&lt;=$D64,SUM(P$5:P$14)*VLOOKUP(P$2,MODULY_CBA!$B$3:$M$23,12,0),0),0)</f>
        <v>0</v>
      </c>
      <c r="Q64" s="577">
        <f>IFERROR(IF(VLOOKUP(Q$2,MODULY_CBA!$B$3:$N$23,13,0)&lt;=$D64,SUM(Q$5:Q$14)*VLOOKUP(Q$2,MODULY_CBA!$B$3:$M$23,12,0),0),0)</f>
        <v>0</v>
      </c>
      <c r="R64" s="577">
        <f>IFERROR(IF(VLOOKUP(R$2,MODULY_CBA!$B$3:$N$23,13,0)&lt;=$D64,SUM(R$5:R$14)*VLOOKUP(R$2,MODULY_CBA!$B$3:$M$23,12,0),0),0)</f>
        <v>0</v>
      </c>
      <c r="S64" s="577">
        <f>IFERROR(IF(VLOOKUP(S$2,MODULY_CBA!$B$3:$N$23,13,0)&lt;=$D64,SUM(S$5:S$14)*VLOOKUP(S$2,MODULY_CBA!$B$3:$M$23,12,0),0),0)</f>
        <v>0</v>
      </c>
      <c r="T64" s="577">
        <f>IFERROR(IF(VLOOKUP(T$2,MODULY_CBA!$B$3:$N$23,13,0)&lt;=$D64,SUM(T$5:T$14)*VLOOKUP(T$2,MODULY_CBA!$B$3:$M$23,12,0),0),0)</f>
        <v>0</v>
      </c>
      <c r="U64" s="577">
        <f>IFERROR(IF(VLOOKUP(U$2,MODULY_CBA!$B$3:$N$23,13,0)&lt;=$D64,SUM(U$5:U$14)*VLOOKUP(U$2,MODULY_CBA!$B$3:$M$23,12,0),0),0)</f>
        <v>0</v>
      </c>
      <c r="V64" s="577">
        <f>IFERROR(IF(VLOOKUP(V$2,MODULY_CBA!$B$3:$N$23,13,0)&lt;=$D64,SUM(V$5:V$14)*VLOOKUP(V$2,MODULY_CBA!$B$3:$M$23,12,0),0),0)</f>
        <v>0</v>
      </c>
      <c r="W64" s="577">
        <f>IFERROR(IF(VLOOKUP(W$2,MODULY_CBA!$B$3:$N$23,13,0)&lt;=$D64,SUM(W$5:W$14)*VLOOKUP(W$2,MODULY_CBA!$B$3:$M$23,12,0),0),0)</f>
        <v>0</v>
      </c>
      <c r="X64" s="577">
        <f>IFERROR(IF(VLOOKUP(X$2,MODULY_CBA!$B$3:$N$23,13,0)&lt;=$D64,SUM(X$5:X$14)*VLOOKUP(X$2,MODULY_CBA!$B$3:$M$23,12,0),0),0)</f>
        <v>0</v>
      </c>
      <c r="Y64" s="577">
        <f>IFERROR(IF(VLOOKUP(Y$2,MODULY_CBA!$B$3:$N$23,13,0)&lt;=$D64,SUM(Y$5:Y$14)*VLOOKUP(Y$2,MODULY_CBA!$B$3:$M$23,12,0),0),0)</f>
        <v>0</v>
      </c>
      <c r="Z64" s="577">
        <f>IFERROR(IF(VLOOKUP(Z$2,MODULY_CBA!$B$3:$N$23,13,0)&lt;=$D64,SUM(Z$5:Z$14)*VLOOKUP(Z$2,MODULY_CBA!$B$3:$M$23,12,0),0),0)</f>
        <v>0</v>
      </c>
    </row>
    <row r="65" spans="1:28" ht="15.75" outlineLevel="1" thickBot="1">
      <c r="A65" s="824"/>
      <c r="B65" s="825"/>
      <c r="C65" s="825"/>
      <c r="D65" s="499">
        <v>10</v>
      </c>
      <c r="E65" s="69">
        <f t="shared" si="7"/>
        <v>258000</v>
      </c>
      <c r="F65" s="577">
        <v>258000</v>
      </c>
      <c r="G65" s="577">
        <f>IFERROR(IF(VLOOKUP(G$2,MODULY_CBA!$B$3:$N$23,13,0)&lt;=$D65,SUM(G$5:G$14)*VLOOKUP(G$2,MODULY_CBA!$B$3:$M$23,12,0),0),0)</f>
        <v>0</v>
      </c>
      <c r="H65" s="577">
        <f>IFERROR(IF(VLOOKUP(H$2,MODULY_CBA!$B$3:$N$23,13,0)&lt;=$D65,SUM(H$5:H$14)*VLOOKUP(H$2,MODULY_CBA!$B$3:$M$23,12,0),0),0)</f>
        <v>0</v>
      </c>
      <c r="I65" s="577">
        <f>IFERROR(IF(VLOOKUP(I$2,MODULY_CBA!$B$3:$N$23,13,0)&lt;=$D65,SUM(I$5:I$14)*VLOOKUP(I$2,MODULY_CBA!$B$3:$M$23,12,0),0),0)</f>
        <v>0</v>
      </c>
      <c r="J65" s="577">
        <f>IFERROR(IF(VLOOKUP(J$2,MODULY_CBA!$B$3:$N$23,13,0)&lt;=$D65,SUM(J$5:J$14)*VLOOKUP(J$2,MODULY_CBA!$B$3:$M$23,12,0),0),0)</f>
        <v>0</v>
      </c>
      <c r="K65" s="577">
        <f>IFERROR(IF(VLOOKUP(K$2,MODULY_CBA!$B$3:$N$23,13,0)&lt;=$D65,SUM(K$5:K$14)*VLOOKUP(K$2,MODULY_CBA!$B$3:$M$23,12,0),0),0)</f>
        <v>0</v>
      </c>
      <c r="L65" s="577">
        <f>IFERROR(IF(VLOOKUP(L$2,MODULY_CBA!$B$3:$N$23,13,0)&lt;=$D65,SUM(L$5:L$14)*VLOOKUP(L$2,MODULY_CBA!$B$3:$M$23,12,0),0),0)</f>
        <v>0</v>
      </c>
      <c r="M65" s="577">
        <f>IFERROR(IF(VLOOKUP(M$2,MODULY_CBA!$B$3:$N$23,13,0)&lt;=$D65,SUM(M$5:M$14)*VLOOKUP(M$2,MODULY_CBA!$B$3:$M$23,12,0),0),0)</f>
        <v>0</v>
      </c>
      <c r="N65" s="577">
        <f>IFERROR(IF(VLOOKUP(N$2,MODULY_CBA!$B$3:$N$23,13,0)&lt;=$D65,SUM(N$5:N$14)*VLOOKUP(N$2,MODULY_CBA!$B$3:$M$23,12,0),0),0)</f>
        <v>0</v>
      </c>
      <c r="O65" s="577">
        <f>IFERROR(IF(VLOOKUP(O$2,MODULY_CBA!$B$3:$N$23,13,0)&lt;=$D65,SUM(O$5:O$14)*VLOOKUP(O$2,MODULY_CBA!$B$3:$M$23,12,0),0),0)</f>
        <v>0</v>
      </c>
      <c r="P65" s="577">
        <f>IFERROR(IF(VLOOKUP(P$2,MODULY_CBA!$B$3:$N$23,13,0)&lt;=$D65,SUM(P$5:P$14)*VLOOKUP(P$2,MODULY_CBA!$B$3:$M$23,12,0),0),0)</f>
        <v>0</v>
      </c>
      <c r="Q65" s="577">
        <f>IFERROR(IF(VLOOKUP(Q$2,MODULY_CBA!$B$3:$N$23,13,0)&lt;=$D65,SUM(Q$5:Q$14)*VLOOKUP(Q$2,MODULY_CBA!$B$3:$M$23,12,0),0),0)</f>
        <v>0</v>
      </c>
      <c r="R65" s="577">
        <f>IFERROR(IF(VLOOKUP(R$2,MODULY_CBA!$B$3:$N$23,13,0)&lt;=$D65,SUM(R$5:R$14)*VLOOKUP(R$2,MODULY_CBA!$B$3:$M$23,12,0),0),0)</f>
        <v>0</v>
      </c>
      <c r="S65" s="577">
        <f>IFERROR(IF(VLOOKUP(S$2,MODULY_CBA!$B$3:$N$23,13,0)&lt;=$D65,SUM(S$5:S$14)*VLOOKUP(S$2,MODULY_CBA!$B$3:$M$23,12,0),0),0)</f>
        <v>0</v>
      </c>
      <c r="T65" s="577">
        <f>IFERROR(IF(VLOOKUP(T$2,MODULY_CBA!$B$3:$N$23,13,0)&lt;=$D65,SUM(T$5:T$14)*VLOOKUP(T$2,MODULY_CBA!$B$3:$M$23,12,0),0),0)</f>
        <v>0</v>
      </c>
      <c r="U65" s="577">
        <f>IFERROR(IF(VLOOKUP(U$2,MODULY_CBA!$B$3:$N$23,13,0)&lt;=$D65,SUM(U$5:U$14)*VLOOKUP(U$2,MODULY_CBA!$B$3:$M$23,12,0),0),0)</f>
        <v>0</v>
      </c>
      <c r="V65" s="577">
        <f>IFERROR(IF(VLOOKUP(V$2,MODULY_CBA!$B$3:$N$23,13,0)&lt;=$D65,SUM(V$5:V$14)*VLOOKUP(V$2,MODULY_CBA!$B$3:$M$23,12,0),0),0)</f>
        <v>0</v>
      </c>
      <c r="W65" s="577">
        <f>IFERROR(IF(VLOOKUP(W$2,MODULY_CBA!$B$3:$N$23,13,0)&lt;=$D65,SUM(W$5:W$14)*VLOOKUP(W$2,MODULY_CBA!$B$3:$M$23,12,0),0),0)</f>
        <v>0</v>
      </c>
      <c r="X65" s="577">
        <f>IFERROR(IF(VLOOKUP(X$2,MODULY_CBA!$B$3:$N$23,13,0)&lt;=$D65,SUM(X$5:X$14)*VLOOKUP(X$2,MODULY_CBA!$B$3:$M$23,12,0),0),0)</f>
        <v>0</v>
      </c>
      <c r="Y65" s="577">
        <f>IFERROR(IF(VLOOKUP(Y$2,MODULY_CBA!$B$3:$N$23,13,0)&lt;=$D65,SUM(Y$5:Y$14)*VLOOKUP(Y$2,MODULY_CBA!$B$3:$M$23,12,0),0),0)</f>
        <v>0</v>
      </c>
      <c r="Z65" s="577">
        <f>IFERROR(IF(VLOOKUP(Z$2,MODULY_CBA!$B$3:$N$23,13,0)&lt;=$D65,SUM(Z$5:Z$14)*VLOOKUP(Z$2,MODULY_CBA!$B$3:$M$23,12,0),0),0)</f>
        <v>0</v>
      </c>
    </row>
    <row r="66" spans="1:28" outlineLevel="1">
      <c r="A66" s="824" t="s">
        <v>92</v>
      </c>
      <c r="B66" s="824" t="s">
        <v>90</v>
      </c>
      <c r="C66" s="825">
        <v>718002</v>
      </c>
      <c r="D66" s="497">
        <v>1</v>
      </c>
      <c r="E66" s="68">
        <f t="shared" si="7"/>
        <v>0</v>
      </c>
      <c r="F66" s="579">
        <v>0</v>
      </c>
      <c r="G66" s="579">
        <v>0</v>
      </c>
      <c r="H66" s="579">
        <v>0</v>
      </c>
      <c r="I66" s="579">
        <v>0</v>
      </c>
      <c r="J66" s="579">
        <v>0</v>
      </c>
      <c r="K66" s="579">
        <v>0</v>
      </c>
      <c r="L66" s="579">
        <v>0</v>
      </c>
      <c r="M66" s="579">
        <v>0</v>
      </c>
      <c r="N66" s="579">
        <v>0</v>
      </c>
      <c r="O66" s="579">
        <v>0</v>
      </c>
      <c r="P66" s="579">
        <v>0</v>
      </c>
      <c r="Q66" s="579">
        <v>0</v>
      </c>
      <c r="R66" s="579">
        <v>0</v>
      </c>
      <c r="S66" s="579">
        <v>0</v>
      </c>
      <c r="T66" s="579">
        <v>0</v>
      </c>
      <c r="U66" s="579">
        <v>0</v>
      </c>
      <c r="V66" s="579">
        <v>0</v>
      </c>
      <c r="W66" s="579">
        <v>0</v>
      </c>
      <c r="X66" s="579">
        <v>0</v>
      </c>
      <c r="Y66" s="579">
        <v>0</v>
      </c>
      <c r="Z66" s="579">
        <v>0</v>
      </c>
    </row>
    <row r="67" spans="1:28" outlineLevel="1">
      <c r="A67" s="824"/>
      <c r="B67" s="825"/>
      <c r="C67" s="825"/>
      <c r="D67" s="498">
        <v>2</v>
      </c>
      <c r="E67" s="68">
        <f t="shared" si="7"/>
        <v>0</v>
      </c>
      <c r="F67" s="580">
        <v>0</v>
      </c>
      <c r="G67" s="580">
        <v>0</v>
      </c>
      <c r="H67" s="580">
        <v>0</v>
      </c>
      <c r="I67" s="580">
        <v>0</v>
      </c>
      <c r="J67" s="580">
        <v>0</v>
      </c>
      <c r="K67" s="580">
        <v>0</v>
      </c>
      <c r="L67" s="580">
        <v>0</v>
      </c>
      <c r="M67" s="580">
        <v>0</v>
      </c>
      <c r="N67" s="580">
        <v>0</v>
      </c>
      <c r="O67" s="580">
        <v>0</v>
      </c>
      <c r="P67" s="580">
        <v>0</v>
      </c>
      <c r="Q67" s="580">
        <v>0</v>
      </c>
      <c r="R67" s="580">
        <v>0</v>
      </c>
      <c r="S67" s="580">
        <v>0</v>
      </c>
      <c r="T67" s="580">
        <v>0</v>
      </c>
      <c r="U67" s="580">
        <v>0</v>
      </c>
      <c r="V67" s="580">
        <v>0</v>
      </c>
      <c r="W67" s="580">
        <v>0</v>
      </c>
      <c r="X67" s="580">
        <v>0</v>
      </c>
      <c r="Y67" s="580">
        <v>0</v>
      </c>
      <c r="Z67" s="580">
        <v>0</v>
      </c>
    </row>
    <row r="68" spans="1:28" outlineLevel="1">
      <c r="A68" s="824"/>
      <c r="B68" s="825"/>
      <c r="C68" s="825"/>
      <c r="D68" s="498">
        <v>3</v>
      </c>
      <c r="E68" s="68">
        <f t="shared" si="7"/>
        <v>0</v>
      </c>
      <c r="F68" s="580">
        <v>0</v>
      </c>
      <c r="G68" s="580">
        <v>0</v>
      </c>
      <c r="H68" s="580">
        <v>0</v>
      </c>
      <c r="I68" s="580">
        <v>0</v>
      </c>
      <c r="J68" s="580">
        <v>0</v>
      </c>
      <c r="K68" s="580">
        <v>0</v>
      </c>
      <c r="L68" s="580">
        <v>0</v>
      </c>
      <c r="M68" s="580">
        <v>0</v>
      </c>
      <c r="N68" s="580">
        <v>0</v>
      </c>
      <c r="O68" s="580">
        <v>0</v>
      </c>
      <c r="P68" s="580">
        <v>0</v>
      </c>
      <c r="Q68" s="580">
        <v>0</v>
      </c>
      <c r="R68" s="580">
        <v>0</v>
      </c>
      <c r="S68" s="580">
        <v>0</v>
      </c>
      <c r="T68" s="580">
        <v>0</v>
      </c>
      <c r="U68" s="580">
        <v>0</v>
      </c>
      <c r="V68" s="580">
        <v>0</v>
      </c>
      <c r="W68" s="580">
        <v>0</v>
      </c>
      <c r="X68" s="580">
        <v>0</v>
      </c>
      <c r="Y68" s="580">
        <v>0</v>
      </c>
      <c r="Z68" s="580">
        <v>0</v>
      </c>
    </row>
    <row r="69" spans="1:28" outlineLevel="1">
      <c r="A69" s="824"/>
      <c r="B69" s="825"/>
      <c r="C69" s="825"/>
      <c r="D69" s="498">
        <v>4</v>
      </c>
      <c r="E69" s="68">
        <f t="shared" si="7"/>
        <v>0</v>
      </c>
      <c r="F69" s="580">
        <v>0</v>
      </c>
      <c r="G69" s="580">
        <v>0</v>
      </c>
      <c r="H69" s="580">
        <v>0</v>
      </c>
      <c r="I69" s="580">
        <v>0</v>
      </c>
      <c r="J69" s="580">
        <v>0</v>
      </c>
      <c r="K69" s="580">
        <v>0</v>
      </c>
      <c r="L69" s="580">
        <v>0</v>
      </c>
      <c r="M69" s="580">
        <v>0</v>
      </c>
      <c r="N69" s="580">
        <v>0</v>
      </c>
      <c r="O69" s="580">
        <v>0</v>
      </c>
      <c r="P69" s="580">
        <v>0</v>
      </c>
      <c r="Q69" s="580">
        <v>0</v>
      </c>
      <c r="R69" s="580">
        <v>0</v>
      </c>
      <c r="S69" s="580">
        <v>0</v>
      </c>
      <c r="T69" s="580">
        <v>0</v>
      </c>
      <c r="U69" s="580">
        <v>0</v>
      </c>
      <c r="V69" s="580">
        <v>0</v>
      </c>
      <c r="W69" s="580">
        <v>0</v>
      </c>
      <c r="X69" s="580">
        <v>0</v>
      </c>
      <c r="Y69" s="580">
        <v>0</v>
      </c>
      <c r="Z69" s="580">
        <v>0</v>
      </c>
    </row>
    <row r="70" spans="1:28" outlineLevel="1">
      <c r="A70" s="824"/>
      <c r="B70" s="825"/>
      <c r="C70" s="825"/>
      <c r="D70" s="498">
        <v>5</v>
      </c>
      <c r="E70" s="68">
        <f t="shared" si="7"/>
        <v>0</v>
      </c>
      <c r="F70" s="580">
        <v>0</v>
      </c>
      <c r="G70" s="580">
        <v>0</v>
      </c>
      <c r="H70" s="580">
        <v>0</v>
      </c>
      <c r="I70" s="580">
        <v>0</v>
      </c>
      <c r="J70" s="580">
        <v>0</v>
      </c>
      <c r="K70" s="580">
        <v>0</v>
      </c>
      <c r="L70" s="580">
        <v>0</v>
      </c>
      <c r="M70" s="580">
        <v>0</v>
      </c>
      <c r="N70" s="580">
        <v>0</v>
      </c>
      <c r="O70" s="580">
        <v>0</v>
      </c>
      <c r="P70" s="580">
        <v>0</v>
      </c>
      <c r="Q70" s="580">
        <v>0</v>
      </c>
      <c r="R70" s="580">
        <v>0</v>
      </c>
      <c r="S70" s="580">
        <v>0</v>
      </c>
      <c r="T70" s="580">
        <v>0</v>
      </c>
      <c r="U70" s="580">
        <v>0</v>
      </c>
      <c r="V70" s="580">
        <v>0</v>
      </c>
      <c r="W70" s="580">
        <v>0</v>
      </c>
      <c r="X70" s="580">
        <v>0</v>
      </c>
      <c r="Y70" s="580">
        <v>0</v>
      </c>
      <c r="Z70" s="580">
        <v>0</v>
      </c>
    </row>
    <row r="71" spans="1:28" outlineLevel="1">
      <c r="A71" s="824"/>
      <c r="B71" s="825"/>
      <c r="C71" s="825"/>
      <c r="D71" s="498">
        <v>6</v>
      </c>
      <c r="E71" s="68">
        <f t="shared" si="7"/>
        <v>0</v>
      </c>
      <c r="F71" s="580">
        <v>0</v>
      </c>
      <c r="G71" s="580">
        <v>0</v>
      </c>
      <c r="H71" s="580">
        <v>0</v>
      </c>
      <c r="I71" s="580">
        <v>0</v>
      </c>
      <c r="J71" s="580">
        <v>0</v>
      </c>
      <c r="K71" s="580">
        <v>0</v>
      </c>
      <c r="L71" s="580">
        <v>0</v>
      </c>
      <c r="M71" s="580">
        <v>0</v>
      </c>
      <c r="N71" s="580">
        <v>0</v>
      </c>
      <c r="O71" s="580">
        <v>0</v>
      </c>
      <c r="P71" s="580">
        <v>0</v>
      </c>
      <c r="Q71" s="580">
        <v>0</v>
      </c>
      <c r="R71" s="580">
        <v>0</v>
      </c>
      <c r="S71" s="580">
        <v>0</v>
      </c>
      <c r="T71" s="580">
        <v>0</v>
      </c>
      <c r="U71" s="580">
        <v>0</v>
      </c>
      <c r="V71" s="580">
        <v>0</v>
      </c>
      <c r="W71" s="580">
        <v>0</v>
      </c>
      <c r="X71" s="580">
        <v>0</v>
      </c>
      <c r="Y71" s="580">
        <v>0</v>
      </c>
      <c r="Z71" s="580">
        <v>0</v>
      </c>
    </row>
    <row r="72" spans="1:28" outlineLevel="1">
      <c r="A72" s="824"/>
      <c r="B72" s="825"/>
      <c r="C72" s="825"/>
      <c r="D72" s="498">
        <v>7</v>
      </c>
      <c r="E72" s="68">
        <f t="shared" si="7"/>
        <v>0</v>
      </c>
      <c r="F72" s="580">
        <v>0</v>
      </c>
      <c r="G72" s="580">
        <v>0</v>
      </c>
      <c r="H72" s="580">
        <v>0</v>
      </c>
      <c r="I72" s="580">
        <v>0</v>
      </c>
      <c r="J72" s="580">
        <v>0</v>
      </c>
      <c r="K72" s="580">
        <v>0</v>
      </c>
      <c r="L72" s="580">
        <v>0</v>
      </c>
      <c r="M72" s="580">
        <v>0</v>
      </c>
      <c r="N72" s="580">
        <v>0</v>
      </c>
      <c r="O72" s="580">
        <v>0</v>
      </c>
      <c r="P72" s="580">
        <v>0</v>
      </c>
      <c r="Q72" s="580">
        <v>0</v>
      </c>
      <c r="R72" s="580">
        <v>0</v>
      </c>
      <c r="S72" s="580">
        <v>0</v>
      </c>
      <c r="T72" s="580">
        <v>0</v>
      </c>
      <c r="U72" s="580">
        <v>0</v>
      </c>
      <c r="V72" s="580">
        <v>0</v>
      </c>
      <c r="W72" s="580">
        <v>0</v>
      </c>
      <c r="X72" s="580">
        <v>0</v>
      </c>
      <c r="Y72" s="580">
        <v>0</v>
      </c>
      <c r="Z72" s="580">
        <v>0</v>
      </c>
    </row>
    <row r="73" spans="1:28" outlineLevel="1">
      <c r="A73" s="824"/>
      <c r="B73" s="825"/>
      <c r="C73" s="825"/>
      <c r="D73" s="498">
        <v>8</v>
      </c>
      <c r="E73" s="68">
        <f t="shared" si="7"/>
        <v>0</v>
      </c>
      <c r="F73" s="580">
        <v>0</v>
      </c>
      <c r="G73" s="580">
        <v>0</v>
      </c>
      <c r="H73" s="580">
        <v>0</v>
      </c>
      <c r="I73" s="580">
        <v>0</v>
      </c>
      <c r="J73" s="580">
        <v>0</v>
      </c>
      <c r="K73" s="580">
        <v>0</v>
      </c>
      <c r="L73" s="580">
        <v>0</v>
      </c>
      <c r="M73" s="580">
        <v>0</v>
      </c>
      <c r="N73" s="580">
        <v>0</v>
      </c>
      <c r="O73" s="580">
        <v>0</v>
      </c>
      <c r="P73" s="580">
        <v>0</v>
      </c>
      <c r="Q73" s="580">
        <v>0</v>
      </c>
      <c r="R73" s="580">
        <v>0</v>
      </c>
      <c r="S73" s="580">
        <v>0</v>
      </c>
      <c r="T73" s="580">
        <v>0</v>
      </c>
      <c r="U73" s="580">
        <v>0</v>
      </c>
      <c r="V73" s="580">
        <v>0</v>
      </c>
      <c r="W73" s="580">
        <v>0</v>
      </c>
      <c r="X73" s="580">
        <v>0</v>
      </c>
      <c r="Y73" s="580">
        <v>0</v>
      </c>
      <c r="Z73" s="580">
        <v>0</v>
      </c>
    </row>
    <row r="74" spans="1:28" outlineLevel="1">
      <c r="A74" s="824"/>
      <c r="B74" s="825"/>
      <c r="C74" s="825"/>
      <c r="D74" s="498">
        <v>9</v>
      </c>
      <c r="E74" s="68">
        <f t="shared" si="7"/>
        <v>0</v>
      </c>
      <c r="F74" s="580">
        <v>0</v>
      </c>
      <c r="G74" s="580">
        <v>0</v>
      </c>
      <c r="H74" s="580">
        <v>0</v>
      </c>
      <c r="I74" s="580">
        <v>0</v>
      </c>
      <c r="J74" s="580">
        <v>0</v>
      </c>
      <c r="K74" s="580">
        <v>0</v>
      </c>
      <c r="L74" s="580">
        <v>0</v>
      </c>
      <c r="M74" s="580">
        <v>0</v>
      </c>
      <c r="N74" s="580">
        <v>0</v>
      </c>
      <c r="O74" s="580">
        <v>0</v>
      </c>
      <c r="P74" s="580">
        <v>0</v>
      </c>
      <c r="Q74" s="580">
        <v>0</v>
      </c>
      <c r="R74" s="580">
        <v>0</v>
      </c>
      <c r="S74" s="580">
        <v>0</v>
      </c>
      <c r="T74" s="580">
        <v>0</v>
      </c>
      <c r="U74" s="580">
        <v>0</v>
      </c>
      <c r="V74" s="580">
        <v>0</v>
      </c>
      <c r="W74" s="580">
        <v>0</v>
      </c>
      <c r="X74" s="580">
        <v>0</v>
      </c>
      <c r="Y74" s="580">
        <v>0</v>
      </c>
      <c r="Z74" s="580">
        <v>0</v>
      </c>
    </row>
    <row r="75" spans="1:28" ht="15.75" outlineLevel="1" thickBot="1">
      <c r="A75" s="824"/>
      <c r="B75" s="825"/>
      <c r="C75" s="825"/>
      <c r="D75" s="499">
        <v>10</v>
      </c>
      <c r="E75" s="69">
        <f t="shared" si="7"/>
        <v>0</v>
      </c>
      <c r="F75" s="584">
        <v>0</v>
      </c>
      <c r="G75" s="584">
        <v>0</v>
      </c>
      <c r="H75" s="584">
        <v>0</v>
      </c>
      <c r="I75" s="584">
        <v>0</v>
      </c>
      <c r="J75" s="584">
        <v>0</v>
      </c>
      <c r="K75" s="584">
        <v>0</v>
      </c>
      <c r="L75" s="584">
        <v>0</v>
      </c>
      <c r="M75" s="584">
        <v>0</v>
      </c>
      <c r="N75" s="584">
        <v>0</v>
      </c>
      <c r="O75" s="584">
        <v>0</v>
      </c>
      <c r="P75" s="584">
        <v>0</v>
      </c>
      <c r="Q75" s="584">
        <v>0</v>
      </c>
      <c r="R75" s="584">
        <v>0</v>
      </c>
      <c r="S75" s="584">
        <v>0</v>
      </c>
      <c r="T75" s="584">
        <v>0</v>
      </c>
      <c r="U75" s="584">
        <v>0</v>
      </c>
      <c r="V75" s="584">
        <v>0</v>
      </c>
      <c r="W75" s="584">
        <v>0</v>
      </c>
      <c r="X75" s="584">
        <v>0</v>
      </c>
      <c r="Y75" s="584">
        <v>0</v>
      </c>
      <c r="Z75" s="584">
        <v>0</v>
      </c>
    </row>
    <row r="76" spans="1:28" outlineLevel="1">
      <c r="A76" s="824" t="s">
        <v>93</v>
      </c>
      <c r="B76" s="825"/>
      <c r="C76" s="825"/>
      <c r="D76" s="497">
        <v>1</v>
      </c>
      <c r="E76" s="68">
        <f t="shared" si="7"/>
        <v>0</v>
      </c>
      <c r="F76" s="579">
        <v>0</v>
      </c>
      <c r="G76" s="579">
        <v>0</v>
      </c>
      <c r="H76" s="579">
        <v>0</v>
      </c>
      <c r="I76" s="579">
        <v>0</v>
      </c>
      <c r="J76" s="579">
        <v>0</v>
      </c>
      <c r="K76" s="579">
        <v>0</v>
      </c>
      <c r="L76" s="579">
        <v>0</v>
      </c>
      <c r="M76" s="579">
        <v>0</v>
      </c>
      <c r="N76" s="579">
        <v>0</v>
      </c>
      <c r="O76" s="579">
        <v>0</v>
      </c>
      <c r="P76" s="579">
        <v>0</v>
      </c>
      <c r="Q76" s="579">
        <v>0</v>
      </c>
      <c r="R76" s="579">
        <v>0</v>
      </c>
      <c r="S76" s="579">
        <v>0</v>
      </c>
      <c r="T76" s="579">
        <v>0</v>
      </c>
      <c r="U76" s="579">
        <v>0</v>
      </c>
      <c r="V76" s="579">
        <v>0</v>
      </c>
      <c r="W76" s="579">
        <v>0</v>
      </c>
      <c r="X76" s="579">
        <v>0</v>
      </c>
      <c r="Y76" s="579">
        <v>0</v>
      </c>
      <c r="Z76" s="579">
        <v>0</v>
      </c>
      <c r="AB76" s="366"/>
    </row>
    <row r="77" spans="1:28" outlineLevel="1">
      <c r="A77" s="824"/>
      <c r="B77" s="825"/>
      <c r="C77" s="825"/>
      <c r="D77" s="498">
        <v>2</v>
      </c>
      <c r="E77" s="68">
        <f t="shared" si="7"/>
        <v>0</v>
      </c>
      <c r="F77" s="580">
        <v>0</v>
      </c>
      <c r="G77" s="580">
        <v>0</v>
      </c>
      <c r="H77" s="580">
        <v>0</v>
      </c>
      <c r="I77" s="580">
        <v>0</v>
      </c>
      <c r="J77" s="580">
        <v>0</v>
      </c>
      <c r="K77" s="580">
        <v>0</v>
      </c>
      <c r="L77" s="580">
        <v>0</v>
      </c>
      <c r="M77" s="580">
        <v>0</v>
      </c>
      <c r="N77" s="580">
        <v>0</v>
      </c>
      <c r="O77" s="580">
        <v>0</v>
      </c>
      <c r="P77" s="580">
        <v>0</v>
      </c>
      <c r="Q77" s="580">
        <v>0</v>
      </c>
      <c r="R77" s="580">
        <v>0</v>
      </c>
      <c r="S77" s="580">
        <v>0</v>
      </c>
      <c r="T77" s="580">
        <v>0</v>
      </c>
      <c r="U77" s="580">
        <v>0</v>
      </c>
      <c r="V77" s="580">
        <v>0</v>
      </c>
      <c r="W77" s="580">
        <v>0</v>
      </c>
      <c r="X77" s="580">
        <v>0</v>
      </c>
      <c r="Y77" s="580">
        <v>0</v>
      </c>
      <c r="Z77" s="580">
        <v>0</v>
      </c>
      <c r="AB77" s="366"/>
    </row>
    <row r="78" spans="1:28" outlineLevel="1">
      <c r="A78" s="824"/>
      <c r="B78" s="825"/>
      <c r="C78" s="825"/>
      <c r="D78" s="498">
        <v>3</v>
      </c>
      <c r="E78" s="68">
        <f t="shared" si="7"/>
        <v>0</v>
      </c>
      <c r="F78" s="580">
        <v>0</v>
      </c>
      <c r="G78" s="580">
        <v>0</v>
      </c>
      <c r="H78" s="580">
        <v>0</v>
      </c>
      <c r="I78" s="580">
        <v>0</v>
      </c>
      <c r="J78" s="580">
        <v>0</v>
      </c>
      <c r="K78" s="580">
        <v>0</v>
      </c>
      <c r="L78" s="580">
        <v>0</v>
      </c>
      <c r="M78" s="580">
        <v>0</v>
      </c>
      <c r="N78" s="580">
        <v>0</v>
      </c>
      <c r="O78" s="580">
        <v>0</v>
      </c>
      <c r="P78" s="580">
        <v>0</v>
      </c>
      <c r="Q78" s="580">
        <v>0</v>
      </c>
      <c r="R78" s="580">
        <v>0</v>
      </c>
      <c r="S78" s="580">
        <v>0</v>
      </c>
      <c r="T78" s="580">
        <v>0</v>
      </c>
      <c r="U78" s="580">
        <v>0</v>
      </c>
      <c r="V78" s="580">
        <v>0</v>
      </c>
      <c r="W78" s="580">
        <v>0</v>
      </c>
      <c r="X78" s="580">
        <v>0</v>
      </c>
      <c r="Y78" s="580">
        <v>0</v>
      </c>
      <c r="Z78" s="580">
        <v>0</v>
      </c>
      <c r="AB78" s="366"/>
    </row>
    <row r="79" spans="1:28" outlineLevel="1">
      <c r="A79" s="824"/>
      <c r="B79" s="825"/>
      <c r="C79" s="825"/>
      <c r="D79" s="498">
        <v>4</v>
      </c>
      <c r="E79" s="68">
        <f t="shared" si="7"/>
        <v>0</v>
      </c>
      <c r="F79" s="580">
        <v>0</v>
      </c>
      <c r="G79" s="580">
        <v>0</v>
      </c>
      <c r="H79" s="580">
        <v>0</v>
      </c>
      <c r="I79" s="580">
        <v>0</v>
      </c>
      <c r="J79" s="580">
        <v>0</v>
      </c>
      <c r="K79" s="580">
        <v>0</v>
      </c>
      <c r="L79" s="580">
        <v>0</v>
      </c>
      <c r="M79" s="580">
        <v>0</v>
      </c>
      <c r="N79" s="580">
        <v>0</v>
      </c>
      <c r="O79" s="580">
        <v>0</v>
      </c>
      <c r="P79" s="580">
        <v>0</v>
      </c>
      <c r="Q79" s="580">
        <v>0</v>
      </c>
      <c r="R79" s="580">
        <v>0</v>
      </c>
      <c r="S79" s="580">
        <v>0</v>
      </c>
      <c r="T79" s="580">
        <v>0</v>
      </c>
      <c r="U79" s="580">
        <v>0</v>
      </c>
      <c r="V79" s="580">
        <v>0</v>
      </c>
      <c r="W79" s="580">
        <v>0</v>
      </c>
      <c r="X79" s="580">
        <v>0</v>
      </c>
      <c r="Y79" s="580">
        <v>0</v>
      </c>
      <c r="Z79" s="580">
        <v>0</v>
      </c>
    </row>
    <row r="80" spans="1:28" outlineLevel="1">
      <c r="A80" s="824"/>
      <c r="B80" s="825"/>
      <c r="C80" s="825"/>
      <c r="D80" s="498">
        <v>5</v>
      </c>
      <c r="E80" s="68">
        <f t="shared" si="7"/>
        <v>0</v>
      </c>
      <c r="F80" s="580">
        <v>0</v>
      </c>
      <c r="G80" s="580">
        <v>0</v>
      </c>
      <c r="H80" s="580">
        <v>0</v>
      </c>
      <c r="I80" s="580">
        <v>0</v>
      </c>
      <c r="J80" s="580">
        <v>0</v>
      </c>
      <c r="K80" s="580">
        <v>0</v>
      </c>
      <c r="L80" s="580">
        <v>0</v>
      </c>
      <c r="M80" s="580">
        <v>0</v>
      </c>
      <c r="N80" s="580">
        <v>0</v>
      </c>
      <c r="O80" s="580">
        <v>0</v>
      </c>
      <c r="P80" s="580">
        <v>0</v>
      </c>
      <c r="Q80" s="580">
        <v>0</v>
      </c>
      <c r="R80" s="580">
        <v>0</v>
      </c>
      <c r="S80" s="580">
        <v>0</v>
      </c>
      <c r="T80" s="580">
        <v>0</v>
      </c>
      <c r="U80" s="580">
        <v>0</v>
      </c>
      <c r="V80" s="580">
        <v>0</v>
      </c>
      <c r="W80" s="580">
        <v>0</v>
      </c>
      <c r="X80" s="580">
        <v>0</v>
      </c>
      <c r="Y80" s="580">
        <v>0</v>
      </c>
      <c r="Z80" s="580">
        <v>0</v>
      </c>
    </row>
    <row r="81" spans="1:26" outlineLevel="1">
      <c r="A81" s="824"/>
      <c r="B81" s="825"/>
      <c r="C81" s="825"/>
      <c r="D81" s="498">
        <v>6</v>
      </c>
      <c r="E81" s="68">
        <f t="shared" si="7"/>
        <v>0</v>
      </c>
      <c r="F81" s="580">
        <v>0</v>
      </c>
      <c r="G81" s="580">
        <v>0</v>
      </c>
      <c r="H81" s="580">
        <v>0</v>
      </c>
      <c r="I81" s="580">
        <v>0</v>
      </c>
      <c r="J81" s="580">
        <v>0</v>
      </c>
      <c r="K81" s="580">
        <v>0</v>
      </c>
      <c r="L81" s="580">
        <v>0</v>
      </c>
      <c r="M81" s="580">
        <v>0</v>
      </c>
      <c r="N81" s="580">
        <v>0</v>
      </c>
      <c r="O81" s="580">
        <v>0</v>
      </c>
      <c r="P81" s="580">
        <v>0</v>
      </c>
      <c r="Q81" s="580">
        <v>0</v>
      </c>
      <c r="R81" s="580">
        <v>0</v>
      </c>
      <c r="S81" s="580">
        <v>0</v>
      </c>
      <c r="T81" s="580">
        <v>0</v>
      </c>
      <c r="U81" s="580">
        <v>0</v>
      </c>
      <c r="V81" s="580">
        <v>0</v>
      </c>
      <c r="W81" s="580">
        <v>0</v>
      </c>
      <c r="X81" s="580">
        <v>0</v>
      </c>
      <c r="Y81" s="580">
        <v>0</v>
      </c>
      <c r="Z81" s="580">
        <v>0</v>
      </c>
    </row>
    <row r="82" spans="1:26" outlineLevel="1">
      <c r="A82" s="824"/>
      <c r="B82" s="825"/>
      <c r="C82" s="825"/>
      <c r="D82" s="498">
        <v>7</v>
      </c>
      <c r="E82" s="68">
        <f t="shared" si="7"/>
        <v>0</v>
      </c>
      <c r="F82" s="580">
        <v>0</v>
      </c>
      <c r="G82" s="580">
        <v>0</v>
      </c>
      <c r="H82" s="580">
        <v>0</v>
      </c>
      <c r="I82" s="580">
        <v>0</v>
      </c>
      <c r="J82" s="580">
        <v>0</v>
      </c>
      <c r="K82" s="580">
        <v>0</v>
      </c>
      <c r="L82" s="580">
        <v>0</v>
      </c>
      <c r="M82" s="580">
        <v>0</v>
      </c>
      <c r="N82" s="580">
        <v>0</v>
      </c>
      <c r="O82" s="580">
        <v>0</v>
      </c>
      <c r="P82" s="580">
        <v>0</v>
      </c>
      <c r="Q82" s="580">
        <v>0</v>
      </c>
      <c r="R82" s="580">
        <v>0</v>
      </c>
      <c r="S82" s="580">
        <v>0</v>
      </c>
      <c r="T82" s="580">
        <v>0</v>
      </c>
      <c r="U82" s="580">
        <v>0</v>
      </c>
      <c r="V82" s="580">
        <v>0</v>
      </c>
      <c r="W82" s="580">
        <v>0</v>
      </c>
      <c r="X82" s="580">
        <v>0</v>
      </c>
      <c r="Y82" s="580">
        <v>0</v>
      </c>
      <c r="Z82" s="580">
        <v>0</v>
      </c>
    </row>
    <row r="83" spans="1:26" outlineLevel="1">
      <c r="A83" s="824"/>
      <c r="B83" s="825"/>
      <c r="C83" s="825"/>
      <c r="D83" s="498">
        <v>8</v>
      </c>
      <c r="E83" s="68">
        <f t="shared" si="7"/>
        <v>0</v>
      </c>
      <c r="F83" s="580">
        <v>0</v>
      </c>
      <c r="G83" s="580">
        <v>0</v>
      </c>
      <c r="H83" s="580">
        <v>0</v>
      </c>
      <c r="I83" s="580">
        <v>0</v>
      </c>
      <c r="J83" s="580">
        <v>0</v>
      </c>
      <c r="K83" s="580">
        <v>0</v>
      </c>
      <c r="L83" s="580">
        <v>0</v>
      </c>
      <c r="M83" s="580">
        <v>0</v>
      </c>
      <c r="N83" s="580">
        <v>0</v>
      </c>
      <c r="O83" s="580">
        <v>0</v>
      </c>
      <c r="P83" s="580">
        <v>0</v>
      </c>
      <c r="Q83" s="580">
        <v>0</v>
      </c>
      <c r="R83" s="580">
        <v>0</v>
      </c>
      <c r="S83" s="580">
        <v>0</v>
      </c>
      <c r="T83" s="580">
        <v>0</v>
      </c>
      <c r="U83" s="580">
        <v>0</v>
      </c>
      <c r="V83" s="580">
        <v>0</v>
      </c>
      <c r="W83" s="580">
        <v>0</v>
      </c>
      <c r="X83" s="580">
        <v>0</v>
      </c>
      <c r="Y83" s="580">
        <v>0</v>
      </c>
      <c r="Z83" s="580">
        <v>0</v>
      </c>
    </row>
    <row r="84" spans="1:26" outlineLevel="1">
      <c r="A84" s="824"/>
      <c r="B84" s="825"/>
      <c r="C84" s="825"/>
      <c r="D84" s="498">
        <v>9</v>
      </c>
      <c r="E84" s="68">
        <f t="shared" si="7"/>
        <v>0</v>
      </c>
      <c r="F84" s="580">
        <v>0</v>
      </c>
      <c r="G84" s="580">
        <v>0</v>
      </c>
      <c r="H84" s="580">
        <v>0</v>
      </c>
      <c r="I84" s="580">
        <v>0</v>
      </c>
      <c r="J84" s="580">
        <v>0</v>
      </c>
      <c r="K84" s="580">
        <v>0</v>
      </c>
      <c r="L84" s="580">
        <v>0</v>
      </c>
      <c r="M84" s="580">
        <v>0</v>
      </c>
      <c r="N84" s="580">
        <v>0</v>
      </c>
      <c r="O84" s="580">
        <v>0</v>
      </c>
      <c r="P84" s="580">
        <v>0</v>
      </c>
      <c r="Q84" s="580">
        <v>0</v>
      </c>
      <c r="R84" s="580">
        <v>0</v>
      </c>
      <c r="S84" s="580">
        <v>0</v>
      </c>
      <c r="T84" s="580">
        <v>0</v>
      </c>
      <c r="U84" s="580">
        <v>0</v>
      </c>
      <c r="V84" s="580">
        <v>0</v>
      </c>
      <c r="W84" s="580">
        <v>0</v>
      </c>
      <c r="X84" s="580">
        <v>0</v>
      </c>
      <c r="Y84" s="580">
        <v>0</v>
      </c>
      <c r="Z84" s="580">
        <v>0</v>
      </c>
    </row>
    <row r="85" spans="1:26" ht="15.75" outlineLevel="1" thickBot="1">
      <c r="A85" s="824"/>
      <c r="B85" s="825"/>
      <c r="C85" s="825"/>
      <c r="D85" s="499">
        <v>10</v>
      </c>
      <c r="E85" s="69">
        <f t="shared" si="7"/>
        <v>0</v>
      </c>
      <c r="F85" s="580">
        <v>0</v>
      </c>
      <c r="G85" s="580">
        <v>0</v>
      </c>
      <c r="H85" s="580">
        <v>0</v>
      </c>
      <c r="I85" s="580">
        <v>0</v>
      </c>
      <c r="J85" s="580">
        <v>0</v>
      </c>
      <c r="K85" s="580">
        <v>0</v>
      </c>
      <c r="L85" s="580">
        <v>0</v>
      </c>
      <c r="M85" s="580">
        <v>0</v>
      </c>
      <c r="N85" s="580">
        <v>0</v>
      </c>
      <c r="O85" s="580">
        <v>0</v>
      </c>
      <c r="P85" s="580">
        <v>0</v>
      </c>
      <c r="Q85" s="580">
        <v>0</v>
      </c>
      <c r="R85" s="580">
        <v>0</v>
      </c>
      <c r="S85" s="580">
        <v>0</v>
      </c>
      <c r="T85" s="580">
        <v>0</v>
      </c>
      <c r="U85" s="580">
        <v>0</v>
      </c>
      <c r="V85" s="580">
        <v>0</v>
      </c>
      <c r="W85" s="580">
        <v>0</v>
      </c>
      <c r="X85" s="580">
        <v>0</v>
      </c>
      <c r="Y85" s="580">
        <v>0</v>
      </c>
      <c r="Z85" s="580">
        <v>0</v>
      </c>
    </row>
    <row r="86" spans="1:26" outlineLevel="1">
      <c r="A86" s="824" t="s">
        <v>94</v>
      </c>
      <c r="B86" s="825" t="s">
        <v>529</v>
      </c>
      <c r="C86" s="825">
        <v>610</v>
      </c>
      <c r="D86" s="497">
        <v>1</v>
      </c>
      <c r="E86" s="68">
        <f t="shared" si="7"/>
        <v>0</v>
      </c>
      <c r="F86" s="579">
        <v>0</v>
      </c>
      <c r="G86" s="579">
        <v>0</v>
      </c>
      <c r="H86" s="579">
        <v>0</v>
      </c>
      <c r="I86" s="579">
        <v>0</v>
      </c>
      <c r="J86" s="579">
        <v>0</v>
      </c>
      <c r="K86" s="579">
        <v>0</v>
      </c>
      <c r="L86" s="579">
        <v>0</v>
      </c>
      <c r="M86" s="579">
        <v>0</v>
      </c>
      <c r="N86" s="579">
        <v>0</v>
      </c>
      <c r="O86" s="579">
        <v>0</v>
      </c>
      <c r="P86" s="579">
        <v>0</v>
      </c>
      <c r="Q86" s="579">
        <v>0</v>
      </c>
      <c r="R86" s="579">
        <v>0</v>
      </c>
      <c r="S86" s="579">
        <v>0</v>
      </c>
      <c r="T86" s="579">
        <v>0</v>
      </c>
      <c r="U86" s="579">
        <v>0</v>
      </c>
      <c r="V86" s="579">
        <v>0</v>
      </c>
      <c r="W86" s="579">
        <v>0</v>
      </c>
      <c r="X86" s="579">
        <v>0</v>
      </c>
      <c r="Y86" s="579">
        <v>0</v>
      </c>
      <c r="Z86" s="579">
        <v>0</v>
      </c>
    </row>
    <row r="87" spans="1:26" outlineLevel="1">
      <c r="A87" s="824"/>
      <c r="B87" s="825"/>
      <c r="C87" s="825"/>
      <c r="D87" s="498">
        <v>2</v>
      </c>
      <c r="E87" s="68">
        <f t="shared" si="7"/>
        <v>0</v>
      </c>
      <c r="F87" s="580">
        <v>0</v>
      </c>
      <c r="G87" s="580">
        <v>0</v>
      </c>
      <c r="H87" s="580">
        <v>0</v>
      </c>
      <c r="I87" s="580">
        <v>0</v>
      </c>
      <c r="J87" s="580">
        <v>0</v>
      </c>
      <c r="K87" s="580">
        <v>0</v>
      </c>
      <c r="L87" s="580">
        <v>0</v>
      </c>
      <c r="M87" s="580">
        <v>0</v>
      </c>
      <c r="N87" s="580">
        <v>0</v>
      </c>
      <c r="O87" s="580">
        <v>0</v>
      </c>
      <c r="P87" s="580">
        <v>0</v>
      </c>
      <c r="Q87" s="580">
        <v>0</v>
      </c>
      <c r="R87" s="580">
        <v>0</v>
      </c>
      <c r="S87" s="580">
        <v>0</v>
      </c>
      <c r="T87" s="580">
        <v>0</v>
      </c>
      <c r="U87" s="580">
        <v>0</v>
      </c>
      <c r="V87" s="580">
        <v>0</v>
      </c>
      <c r="W87" s="580">
        <v>0</v>
      </c>
      <c r="X87" s="580">
        <v>0</v>
      </c>
      <c r="Y87" s="580">
        <v>0</v>
      </c>
      <c r="Z87" s="580">
        <v>0</v>
      </c>
    </row>
    <row r="88" spans="1:26" outlineLevel="1">
      <c r="A88" s="824"/>
      <c r="B88" s="825"/>
      <c r="C88" s="825"/>
      <c r="D88" s="498">
        <v>3</v>
      </c>
      <c r="E88" s="68">
        <f t="shared" si="7"/>
        <v>0</v>
      </c>
      <c r="F88" s="580">
        <v>0</v>
      </c>
      <c r="G88" s="580">
        <v>0</v>
      </c>
      <c r="H88" s="580">
        <v>0</v>
      </c>
      <c r="I88" s="580">
        <v>0</v>
      </c>
      <c r="J88" s="580">
        <v>0</v>
      </c>
      <c r="K88" s="580">
        <v>0</v>
      </c>
      <c r="L88" s="580">
        <v>0</v>
      </c>
      <c r="M88" s="580">
        <v>0</v>
      </c>
      <c r="N88" s="580">
        <v>0</v>
      </c>
      <c r="O88" s="580">
        <v>0</v>
      </c>
      <c r="P88" s="580">
        <v>0</v>
      </c>
      <c r="Q88" s="580">
        <v>0</v>
      </c>
      <c r="R88" s="580">
        <v>0</v>
      </c>
      <c r="S88" s="580">
        <v>0</v>
      </c>
      <c r="T88" s="580">
        <v>0</v>
      </c>
      <c r="U88" s="580">
        <v>0</v>
      </c>
      <c r="V88" s="580">
        <v>0</v>
      </c>
      <c r="W88" s="580">
        <v>0</v>
      </c>
      <c r="X88" s="580">
        <v>0</v>
      </c>
      <c r="Y88" s="580">
        <v>0</v>
      </c>
      <c r="Z88" s="580">
        <v>0</v>
      </c>
    </row>
    <row r="89" spans="1:26" outlineLevel="1">
      <c r="A89" s="824"/>
      <c r="B89" s="825"/>
      <c r="C89" s="825"/>
      <c r="D89" s="498">
        <v>4</v>
      </c>
      <c r="E89" s="68">
        <f t="shared" si="7"/>
        <v>0</v>
      </c>
      <c r="F89" s="580">
        <v>0</v>
      </c>
      <c r="G89" s="580">
        <v>0</v>
      </c>
      <c r="H89" s="580">
        <v>0</v>
      </c>
      <c r="I89" s="580">
        <v>0</v>
      </c>
      <c r="J89" s="580">
        <v>0</v>
      </c>
      <c r="K89" s="580">
        <v>0</v>
      </c>
      <c r="L89" s="580">
        <v>0</v>
      </c>
      <c r="M89" s="580">
        <v>0</v>
      </c>
      <c r="N89" s="580">
        <v>0</v>
      </c>
      <c r="O89" s="580">
        <v>0</v>
      </c>
      <c r="P89" s="580">
        <v>0</v>
      </c>
      <c r="Q89" s="580">
        <v>0</v>
      </c>
      <c r="R89" s="580">
        <v>0</v>
      </c>
      <c r="S89" s="580">
        <v>0</v>
      </c>
      <c r="T89" s="580">
        <v>0</v>
      </c>
      <c r="U89" s="580">
        <v>0</v>
      </c>
      <c r="V89" s="580">
        <v>0</v>
      </c>
      <c r="W89" s="580">
        <v>0</v>
      </c>
      <c r="X89" s="580">
        <v>0</v>
      </c>
      <c r="Y89" s="580">
        <v>0</v>
      </c>
      <c r="Z89" s="580">
        <v>0</v>
      </c>
    </row>
    <row r="90" spans="1:26" outlineLevel="1">
      <c r="A90" s="824"/>
      <c r="B90" s="825"/>
      <c r="C90" s="825"/>
      <c r="D90" s="498">
        <v>5</v>
      </c>
      <c r="E90" s="68">
        <f t="shared" si="7"/>
        <v>0</v>
      </c>
      <c r="F90" s="580">
        <v>0</v>
      </c>
      <c r="G90" s="580">
        <v>0</v>
      </c>
      <c r="H90" s="580">
        <v>0</v>
      </c>
      <c r="I90" s="580">
        <v>0</v>
      </c>
      <c r="J90" s="580">
        <v>0</v>
      </c>
      <c r="K90" s="580">
        <v>0</v>
      </c>
      <c r="L90" s="580">
        <v>0</v>
      </c>
      <c r="M90" s="580">
        <v>0</v>
      </c>
      <c r="N90" s="580">
        <v>0</v>
      </c>
      <c r="O90" s="580">
        <v>0</v>
      </c>
      <c r="P90" s="580">
        <v>0</v>
      </c>
      <c r="Q90" s="580">
        <v>0</v>
      </c>
      <c r="R90" s="580">
        <v>0</v>
      </c>
      <c r="S90" s="580">
        <v>0</v>
      </c>
      <c r="T90" s="580">
        <v>0</v>
      </c>
      <c r="U90" s="580">
        <v>0</v>
      </c>
      <c r="V90" s="580">
        <v>0</v>
      </c>
      <c r="W90" s="580">
        <v>0</v>
      </c>
      <c r="X90" s="580">
        <v>0</v>
      </c>
      <c r="Y90" s="580">
        <v>0</v>
      </c>
      <c r="Z90" s="580">
        <v>0</v>
      </c>
    </row>
    <row r="91" spans="1:26" outlineLevel="1">
      <c r="A91" s="824"/>
      <c r="B91" s="825"/>
      <c r="C91" s="825"/>
      <c r="D91" s="498">
        <v>6</v>
      </c>
      <c r="E91" s="68">
        <f t="shared" si="7"/>
        <v>0</v>
      </c>
      <c r="F91" s="580">
        <v>0</v>
      </c>
      <c r="G91" s="580">
        <v>0</v>
      </c>
      <c r="H91" s="580">
        <v>0</v>
      </c>
      <c r="I91" s="580">
        <v>0</v>
      </c>
      <c r="J91" s="580">
        <v>0</v>
      </c>
      <c r="K91" s="580">
        <v>0</v>
      </c>
      <c r="L91" s="580">
        <v>0</v>
      </c>
      <c r="M91" s="580">
        <v>0</v>
      </c>
      <c r="N91" s="580">
        <v>0</v>
      </c>
      <c r="O91" s="580">
        <v>0</v>
      </c>
      <c r="P91" s="580">
        <v>0</v>
      </c>
      <c r="Q91" s="580">
        <v>0</v>
      </c>
      <c r="R91" s="580">
        <v>0</v>
      </c>
      <c r="S91" s="580">
        <v>0</v>
      </c>
      <c r="T91" s="580">
        <v>0</v>
      </c>
      <c r="U91" s="580">
        <v>0</v>
      </c>
      <c r="V91" s="580">
        <v>0</v>
      </c>
      <c r="W91" s="580">
        <v>0</v>
      </c>
      <c r="X91" s="580">
        <v>0</v>
      </c>
      <c r="Y91" s="580">
        <v>0</v>
      </c>
      <c r="Z91" s="580">
        <v>0</v>
      </c>
    </row>
    <row r="92" spans="1:26" outlineLevel="1">
      <c r="A92" s="824"/>
      <c r="B92" s="825"/>
      <c r="C92" s="825"/>
      <c r="D92" s="498">
        <v>7</v>
      </c>
      <c r="E92" s="68">
        <f t="shared" si="7"/>
        <v>0</v>
      </c>
      <c r="F92" s="580">
        <v>0</v>
      </c>
      <c r="G92" s="580">
        <v>0</v>
      </c>
      <c r="H92" s="580">
        <v>0</v>
      </c>
      <c r="I92" s="580">
        <v>0</v>
      </c>
      <c r="J92" s="580">
        <v>0</v>
      </c>
      <c r="K92" s="580">
        <v>0</v>
      </c>
      <c r="L92" s="580">
        <v>0</v>
      </c>
      <c r="M92" s="580">
        <v>0</v>
      </c>
      <c r="N92" s="580">
        <v>0</v>
      </c>
      <c r="O92" s="580">
        <v>0</v>
      </c>
      <c r="P92" s="580">
        <v>0</v>
      </c>
      <c r="Q92" s="580">
        <v>0</v>
      </c>
      <c r="R92" s="580">
        <v>0</v>
      </c>
      <c r="S92" s="580">
        <v>0</v>
      </c>
      <c r="T92" s="580">
        <v>0</v>
      </c>
      <c r="U92" s="580">
        <v>0</v>
      </c>
      <c r="V92" s="580">
        <v>0</v>
      </c>
      <c r="W92" s="580">
        <v>0</v>
      </c>
      <c r="X92" s="580">
        <v>0</v>
      </c>
      <c r="Y92" s="580">
        <v>0</v>
      </c>
      <c r="Z92" s="580">
        <v>0</v>
      </c>
    </row>
    <row r="93" spans="1:26" outlineLevel="1">
      <c r="A93" s="824"/>
      <c r="B93" s="825"/>
      <c r="C93" s="825"/>
      <c r="D93" s="498">
        <v>8</v>
      </c>
      <c r="E93" s="68">
        <f t="shared" si="7"/>
        <v>0</v>
      </c>
      <c r="F93" s="580">
        <v>0</v>
      </c>
      <c r="G93" s="580">
        <v>0</v>
      </c>
      <c r="H93" s="580">
        <v>0</v>
      </c>
      <c r="I93" s="580">
        <v>0</v>
      </c>
      <c r="J93" s="580">
        <v>0</v>
      </c>
      <c r="K93" s="580">
        <v>0</v>
      </c>
      <c r="L93" s="580">
        <v>0</v>
      </c>
      <c r="M93" s="580">
        <v>0</v>
      </c>
      <c r="N93" s="580">
        <v>0</v>
      </c>
      <c r="O93" s="580">
        <v>0</v>
      </c>
      <c r="P93" s="580">
        <v>0</v>
      </c>
      <c r="Q93" s="580">
        <v>0</v>
      </c>
      <c r="R93" s="580">
        <v>0</v>
      </c>
      <c r="S93" s="580">
        <v>0</v>
      </c>
      <c r="T93" s="580">
        <v>0</v>
      </c>
      <c r="U93" s="580">
        <v>0</v>
      </c>
      <c r="V93" s="580">
        <v>0</v>
      </c>
      <c r="W93" s="580">
        <v>0</v>
      </c>
      <c r="X93" s="580">
        <v>0</v>
      </c>
      <c r="Y93" s="580">
        <v>0</v>
      </c>
      <c r="Z93" s="580">
        <v>0</v>
      </c>
    </row>
    <row r="94" spans="1:26" outlineLevel="1">
      <c r="A94" s="824"/>
      <c r="B94" s="825"/>
      <c r="C94" s="825"/>
      <c r="D94" s="498">
        <v>9</v>
      </c>
      <c r="E94" s="68">
        <f t="shared" si="7"/>
        <v>0</v>
      </c>
      <c r="F94" s="580">
        <v>0</v>
      </c>
      <c r="G94" s="580">
        <v>0</v>
      </c>
      <c r="H94" s="580">
        <v>0</v>
      </c>
      <c r="I94" s="580">
        <v>0</v>
      </c>
      <c r="J94" s="580">
        <v>0</v>
      </c>
      <c r="K94" s="580">
        <v>0</v>
      </c>
      <c r="L94" s="580">
        <v>0</v>
      </c>
      <c r="M94" s="580">
        <v>0</v>
      </c>
      <c r="N94" s="580">
        <v>0</v>
      </c>
      <c r="O94" s="580">
        <v>0</v>
      </c>
      <c r="P94" s="580">
        <v>0</v>
      </c>
      <c r="Q94" s="580">
        <v>0</v>
      </c>
      <c r="R94" s="580">
        <v>0</v>
      </c>
      <c r="S94" s="580">
        <v>0</v>
      </c>
      <c r="T94" s="580">
        <v>0</v>
      </c>
      <c r="U94" s="580">
        <v>0</v>
      </c>
      <c r="V94" s="580">
        <v>0</v>
      </c>
      <c r="W94" s="580">
        <v>0</v>
      </c>
      <c r="X94" s="580">
        <v>0</v>
      </c>
      <c r="Y94" s="580">
        <v>0</v>
      </c>
      <c r="Z94" s="580">
        <v>0</v>
      </c>
    </row>
    <row r="95" spans="1:26" ht="15.75" outlineLevel="1" thickBot="1">
      <c r="A95" s="824"/>
      <c r="B95" s="825"/>
      <c r="C95" s="825"/>
      <c r="D95" s="499">
        <v>10</v>
      </c>
      <c r="E95" s="69">
        <f t="shared" si="7"/>
        <v>0</v>
      </c>
      <c r="F95" s="584">
        <v>0</v>
      </c>
      <c r="G95" s="584">
        <v>0</v>
      </c>
      <c r="H95" s="584">
        <v>0</v>
      </c>
      <c r="I95" s="584">
        <v>0</v>
      </c>
      <c r="J95" s="584">
        <v>0</v>
      </c>
      <c r="K95" s="584">
        <v>0</v>
      </c>
      <c r="L95" s="584">
        <v>0</v>
      </c>
      <c r="M95" s="584">
        <v>0</v>
      </c>
      <c r="N95" s="584">
        <v>0</v>
      </c>
      <c r="O95" s="584">
        <v>0</v>
      </c>
      <c r="P95" s="584">
        <v>0</v>
      </c>
      <c r="Q95" s="584">
        <v>0</v>
      </c>
      <c r="R95" s="584">
        <v>0</v>
      </c>
      <c r="S95" s="584">
        <v>0</v>
      </c>
      <c r="T95" s="584">
        <v>0</v>
      </c>
      <c r="U95" s="584">
        <v>0</v>
      </c>
      <c r="V95" s="584">
        <v>0</v>
      </c>
      <c r="W95" s="584">
        <v>0</v>
      </c>
      <c r="X95" s="584">
        <v>0</v>
      </c>
      <c r="Y95" s="584">
        <v>0</v>
      </c>
      <c r="Z95" s="584">
        <v>0</v>
      </c>
    </row>
    <row r="96" spans="1:26" outlineLevel="1">
      <c r="A96" s="824" t="s">
        <v>89</v>
      </c>
      <c r="B96" s="825" t="s">
        <v>76</v>
      </c>
      <c r="C96" s="825">
        <v>637040</v>
      </c>
      <c r="D96" s="497">
        <v>1</v>
      </c>
      <c r="E96" s="68">
        <f t="shared" si="7"/>
        <v>0</v>
      </c>
      <c r="F96" s="579">
        <v>0</v>
      </c>
      <c r="G96" s="579">
        <v>0</v>
      </c>
      <c r="H96" s="579">
        <v>0</v>
      </c>
      <c r="I96" s="579">
        <v>0</v>
      </c>
      <c r="J96" s="579">
        <v>0</v>
      </c>
      <c r="K96" s="579">
        <v>0</v>
      </c>
      <c r="L96" s="579">
        <v>0</v>
      </c>
      <c r="M96" s="579">
        <v>0</v>
      </c>
      <c r="N96" s="579">
        <v>0</v>
      </c>
      <c r="O96" s="579">
        <v>0</v>
      </c>
      <c r="P96" s="579">
        <v>0</v>
      </c>
      <c r="Q96" s="579">
        <v>0</v>
      </c>
      <c r="R96" s="579">
        <v>0</v>
      </c>
      <c r="S96" s="579">
        <v>0</v>
      </c>
      <c r="T96" s="579">
        <v>0</v>
      </c>
      <c r="U96" s="579">
        <v>0</v>
      </c>
      <c r="V96" s="579">
        <v>0</v>
      </c>
      <c r="W96" s="579">
        <v>0</v>
      </c>
      <c r="X96" s="579">
        <v>0</v>
      </c>
      <c r="Y96" s="579">
        <v>0</v>
      </c>
      <c r="Z96" s="579">
        <v>0</v>
      </c>
    </row>
    <row r="97" spans="1:26" outlineLevel="1">
      <c r="A97" s="824"/>
      <c r="B97" s="825"/>
      <c r="C97" s="825"/>
      <c r="D97" s="498">
        <v>2</v>
      </c>
      <c r="E97" s="68">
        <f t="shared" si="7"/>
        <v>0</v>
      </c>
      <c r="F97" s="580">
        <v>0</v>
      </c>
      <c r="G97" s="580">
        <v>0</v>
      </c>
      <c r="H97" s="580">
        <v>0</v>
      </c>
      <c r="I97" s="580">
        <v>0</v>
      </c>
      <c r="J97" s="580">
        <v>0</v>
      </c>
      <c r="K97" s="580">
        <v>0</v>
      </c>
      <c r="L97" s="580">
        <v>0</v>
      </c>
      <c r="M97" s="580">
        <v>0</v>
      </c>
      <c r="N97" s="580">
        <v>0</v>
      </c>
      <c r="O97" s="580">
        <v>0</v>
      </c>
      <c r="P97" s="580">
        <v>0</v>
      </c>
      <c r="Q97" s="580">
        <v>0</v>
      </c>
      <c r="R97" s="580">
        <v>0</v>
      </c>
      <c r="S97" s="580">
        <v>0</v>
      </c>
      <c r="T97" s="580">
        <v>0</v>
      </c>
      <c r="U97" s="580">
        <v>0</v>
      </c>
      <c r="V97" s="580">
        <v>0</v>
      </c>
      <c r="W97" s="580">
        <v>0</v>
      </c>
      <c r="X97" s="580">
        <v>0</v>
      </c>
      <c r="Y97" s="580">
        <v>0</v>
      </c>
      <c r="Z97" s="580">
        <v>0</v>
      </c>
    </row>
    <row r="98" spans="1:26" outlineLevel="1">
      <c r="A98" s="824"/>
      <c r="B98" s="825"/>
      <c r="C98" s="825"/>
      <c r="D98" s="498">
        <v>3</v>
      </c>
      <c r="E98" s="68">
        <f t="shared" si="7"/>
        <v>0</v>
      </c>
      <c r="F98" s="580">
        <v>0</v>
      </c>
      <c r="G98" s="580">
        <v>0</v>
      </c>
      <c r="H98" s="580">
        <v>0</v>
      </c>
      <c r="I98" s="580">
        <v>0</v>
      </c>
      <c r="J98" s="580">
        <v>0</v>
      </c>
      <c r="K98" s="580">
        <v>0</v>
      </c>
      <c r="L98" s="580">
        <v>0</v>
      </c>
      <c r="M98" s="580">
        <v>0</v>
      </c>
      <c r="N98" s="580">
        <v>0</v>
      </c>
      <c r="O98" s="580">
        <v>0</v>
      </c>
      <c r="P98" s="580">
        <v>0</v>
      </c>
      <c r="Q98" s="580">
        <v>0</v>
      </c>
      <c r="R98" s="580">
        <v>0</v>
      </c>
      <c r="S98" s="580">
        <v>0</v>
      </c>
      <c r="T98" s="580">
        <v>0</v>
      </c>
      <c r="U98" s="580">
        <v>0</v>
      </c>
      <c r="V98" s="580">
        <v>0</v>
      </c>
      <c r="W98" s="580">
        <v>0</v>
      </c>
      <c r="X98" s="580">
        <v>0</v>
      </c>
      <c r="Y98" s="580">
        <v>0</v>
      </c>
      <c r="Z98" s="580">
        <v>0</v>
      </c>
    </row>
    <row r="99" spans="1:26" outlineLevel="1">
      <c r="A99" s="824"/>
      <c r="B99" s="825"/>
      <c r="C99" s="825"/>
      <c r="D99" s="498">
        <v>4</v>
      </c>
      <c r="E99" s="68">
        <f t="shared" si="7"/>
        <v>0</v>
      </c>
      <c r="F99" s="580">
        <v>0</v>
      </c>
      <c r="G99" s="580">
        <v>0</v>
      </c>
      <c r="H99" s="580">
        <v>0</v>
      </c>
      <c r="I99" s="580">
        <v>0</v>
      </c>
      <c r="J99" s="580">
        <v>0</v>
      </c>
      <c r="K99" s="580">
        <v>0</v>
      </c>
      <c r="L99" s="580">
        <v>0</v>
      </c>
      <c r="M99" s="580">
        <v>0</v>
      </c>
      <c r="N99" s="580">
        <v>0</v>
      </c>
      <c r="O99" s="580">
        <v>0</v>
      </c>
      <c r="P99" s="580">
        <v>0</v>
      </c>
      <c r="Q99" s="580">
        <v>0</v>
      </c>
      <c r="R99" s="580">
        <v>0</v>
      </c>
      <c r="S99" s="580">
        <v>0</v>
      </c>
      <c r="T99" s="580">
        <v>0</v>
      </c>
      <c r="U99" s="580">
        <v>0</v>
      </c>
      <c r="V99" s="580">
        <v>0</v>
      </c>
      <c r="W99" s="580">
        <v>0</v>
      </c>
      <c r="X99" s="580">
        <v>0</v>
      </c>
      <c r="Y99" s="580">
        <v>0</v>
      </c>
      <c r="Z99" s="580">
        <v>0</v>
      </c>
    </row>
    <row r="100" spans="1:26" outlineLevel="1">
      <c r="A100" s="824"/>
      <c r="B100" s="825"/>
      <c r="C100" s="825"/>
      <c r="D100" s="498">
        <v>5</v>
      </c>
      <c r="E100" s="68">
        <f t="shared" si="7"/>
        <v>0</v>
      </c>
      <c r="F100" s="580">
        <v>0</v>
      </c>
      <c r="G100" s="580">
        <v>0</v>
      </c>
      <c r="H100" s="580">
        <v>0</v>
      </c>
      <c r="I100" s="580">
        <v>0</v>
      </c>
      <c r="J100" s="580">
        <v>0</v>
      </c>
      <c r="K100" s="580">
        <v>0</v>
      </c>
      <c r="L100" s="580">
        <v>0</v>
      </c>
      <c r="M100" s="580">
        <v>0</v>
      </c>
      <c r="N100" s="580">
        <v>0</v>
      </c>
      <c r="O100" s="580">
        <v>0</v>
      </c>
      <c r="P100" s="580">
        <v>0</v>
      </c>
      <c r="Q100" s="580">
        <v>0</v>
      </c>
      <c r="R100" s="580">
        <v>0</v>
      </c>
      <c r="S100" s="580">
        <v>0</v>
      </c>
      <c r="T100" s="580">
        <v>0</v>
      </c>
      <c r="U100" s="580">
        <v>0</v>
      </c>
      <c r="V100" s="580">
        <v>0</v>
      </c>
      <c r="W100" s="580">
        <v>0</v>
      </c>
      <c r="X100" s="580">
        <v>0</v>
      </c>
      <c r="Y100" s="580">
        <v>0</v>
      </c>
      <c r="Z100" s="580">
        <v>0</v>
      </c>
    </row>
    <row r="101" spans="1:26" outlineLevel="1">
      <c r="A101" s="824"/>
      <c r="B101" s="825"/>
      <c r="C101" s="825"/>
      <c r="D101" s="498">
        <v>6</v>
      </c>
      <c r="E101" s="68">
        <f t="shared" si="7"/>
        <v>0</v>
      </c>
      <c r="F101" s="580">
        <v>0</v>
      </c>
      <c r="G101" s="580">
        <v>0</v>
      </c>
      <c r="H101" s="580">
        <v>0</v>
      </c>
      <c r="I101" s="580">
        <v>0</v>
      </c>
      <c r="J101" s="580">
        <v>0</v>
      </c>
      <c r="K101" s="580">
        <v>0</v>
      </c>
      <c r="L101" s="580">
        <v>0</v>
      </c>
      <c r="M101" s="580">
        <v>0</v>
      </c>
      <c r="N101" s="580">
        <v>0</v>
      </c>
      <c r="O101" s="580">
        <v>0</v>
      </c>
      <c r="P101" s="580">
        <v>0</v>
      </c>
      <c r="Q101" s="580">
        <v>0</v>
      </c>
      <c r="R101" s="580">
        <v>0</v>
      </c>
      <c r="S101" s="580">
        <v>0</v>
      </c>
      <c r="T101" s="580">
        <v>0</v>
      </c>
      <c r="U101" s="580">
        <v>0</v>
      </c>
      <c r="V101" s="580">
        <v>0</v>
      </c>
      <c r="W101" s="580">
        <v>0</v>
      </c>
      <c r="X101" s="580">
        <v>0</v>
      </c>
      <c r="Y101" s="580">
        <v>0</v>
      </c>
      <c r="Z101" s="580">
        <v>0</v>
      </c>
    </row>
    <row r="102" spans="1:26" outlineLevel="1">
      <c r="A102" s="824"/>
      <c r="B102" s="825"/>
      <c r="C102" s="825"/>
      <c r="D102" s="498">
        <v>7</v>
      </c>
      <c r="E102" s="68">
        <f t="shared" si="7"/>
        <v>0</v>
      </c>
      <c r="F102" s="580">
        <v>0</v>
      </c>
      <c r="G102" s="580">
        <v>0</v>
      </c>
      <c r="H102" s="580">
        <v>0</v>
      </c>
      <c r="I102" s="580">
        <v>0</v>
      </c>
      <c r="J102" s="580">
        <v>0</v>
      </c>
      <c r="K102" s="580">
        <v>0</v>
      </c>
      <c r="L102" s="580">
        <v>0</v>
      </c>
      <c r="M102" s="580">
        <v>0</v>
      </c>
      <c r="N102" s="580">
        <v>0</v>
      </c>
      <c r="O102" s="580">
        <v>0</v>
      </c>
      <c r="P102" s="580">
        <v>0</v>
      </c>
      <c r="Q102" s="580">
        <v>0</v>
      </c>
      <c r="R102" s="580">
        <v>0</v>
      </c>
      <c r="S102" s="580">
        <v>0</v>
      </c>
      <c r="T102" s="580">
        <v>0</v>
      </c>
      <c r="U102" s="580">
        <v>0</v>
      </c>
      <c r="V102" s="580">
        <v>0</v>
      </c>
      <c r="W102" s="580">
        <v>0</v>
      </c>
      <c r="X102" s="580">
        <v>0</v>
      </c>
      <c r="Y102" s="580">
        <v>0</v>
      </c>
      <c r="Z102" s="580">
        <v>0</v>
      </c>
    </row>
    <row r="103" spans="1:26" outlineLevel="1">
      <c r="A103" s="824"/>
      <c r="B103" s="825"/>
      <c r="C103" s="825"/>
      <c r="D103" s="498">
        <v>8</v>
      </c>
      <c r="E103" s="68">
        <f t="shared" si="7"/>
        <v>0</v>
      </c>
      <c r="F103" s="580">
        <v>0</v>
      </c>
      <c r="G103" s="580">
        <v>0</v>
      </c>
      <c r="H103" s="580">
        <v>0</v>
      </c>
      <c r="I103" s="580">
        <v>0</v>
      </c>
      <c r="J103" s="580">
        <v>0</v>
      </c>
      <c r="K103" s="580">
        <v>0</v>
      </c>
      <c r="L103" s="580">
        <v>0</v>
      </c>
      <c r="M103" s="580">
        <v>0</v>
      </c>
      <c r="N103" s="580">
        <v>0</v>
      </c>
      <c r="O103" s="580">
        <v>0</v>
      </c>
      <c r="P103" s="580">
        <v>0</v>
      </c>
      <c r="Q103" s="580">
        <v>0</v>
      </c>
      <c r="R103" s="580">
        <v>0</v>
      </c>
      <c r="S103" s="580">
        <v>0</v>
      </c>
      <c r="T103" s="580">
        <v>0</v>
      </c>
      <c r="U103" s="580">
        <v>0</v>
      </c>
      <c r="V103" s="580">
        <v>0</v>
      </c>
      <c r="W103" s="580">
        <v>0</v>
      </c>
      <c r="X103" s="580">
        <v>0</v>
      </c>
      <c r="Y103" s="580">
        <v>0</v>
      </c>
      <c r="Z103" s="580">
        <v>0</v>
      </c>
    </row>
    <row r="104" spans="1:26" outlineLevel="1">
      <c r="A104" s="824"/>
      <c r="B104" s="825"/>
      <c r="C104" s="825"/>
      <c r="D104" s="498">
        <v>9</v>
      </c>
      <c r="E104" s="68">
        <f t="shared" si="7"/>
        <v>0</v>
      </c>
      <c r="F104" s="580">
        <v>0</v>
      </c>
      <c r="G104" s="580">
        <v>0</v>
      </c>
      <c r="H104" s="580">
        <v>0</v>
      </c>
      <c r="I104" s="580">
        <v>0</v>
      </c>
      <c r="J104" s="580">
        <v>0</v>
      </c>
      <c r="K104" s="580">
        <v>0</v>
      </c>
      <c r="L104" s="580">
        <v>0</v>
      </c>
      <c r="M104" s="580">
        <v>0</v>
      </c>
      <c r="N104" s="580">
        <v>0</v>
      </c>
      <c r="O104" s="580">
        <v>0</v>
      </c>
      <c r="P104" s="580">
        <v>0</v>
      </c>
      <c r="Q104" s="580">
        <v>0</v>
      </c>
      <c r="R104" s="580">
        <v>0</v>
      </c>
      <c r="S104" s="580">
        <v>0</v>
      </c>
      <c r="T104" s="580">
        <v>0</v>
      </c>
      <c r="U104" s="580">
        <v>0</v>
      </c>
      <c r="V104" s="580">
        <v>0</v>
      </c>
      <c r="W104" s="580">
        <v>0</v>
      </c>
      <c r="X104" s="580">
        <v>0</v>
      </c>
      <c r="Y104" s="580">
        <v>0</v>
      </c>
      <c r="Z104" s="580">
        <v>0</v>
      </c>
    </row>
    <row r="105" spans="1:26" ht="15.75" outlineLevel="1" thickBot="1">
      <c r="A105" s="824"/>
      <c r="B105" s="825"/>
      <c r="C105" s="825"/>
      <c r="D105" s="499">
        <v>10</v>
      </c>
      <c r="E105" s="69">
        <f t="shared" si="7"/>
        <v>0</v>
      </c>
      <c r="F105" s="584">
        <v>0</v>
      </c>
      <c r="G105" s="584">
        <v>0</v>
      </c>
      <c r="H105" s="584">
        <v>0</v>
      </c>
      <c r="I105" s="584">
        <v>0</v>
      </c>
      <c r="J105" s="584">
        <v>0</v>
      </c>
      <c r="K105" s="584">
        <v>0</v>
      </c>
      <c r="L105" s="584">
        <v>0</v>
      </c>
      <c r="M105" s="584">
        <v>0</v>
      </c>
      <c r="N105" s="584">
        <v>0</v>
      </c>
      <c r="O105" s="584">
        <v>0</v>
      </c>
      <c r="P105" s="584">
        <v>0</v>
      </c>
      <c r="Q105" s="584">
        <v>0</v>
      </c>
      <c r="R105" s="584">
        <v>0</v>
      </c>
      <c r="S105" s="584">
        <v>0</v>
      </c>
      <c r="T105" s="584">
        <v>0</v>
      </c>
      <c r="U105" s="584">
        <v>0</v>
      </c>
      <c r="V105" s="584">
        <v>0</v>
      </c>
      <c r="W105" s="584">
        <v>0</v>
      </c>
      <c r="X105" s="584">
        <v>0</v>
      </c>
      <c r="Y105" s="584">
        <v>0</v>
      </c>
      <c r="Z105" s="584">
        <v>0</v>
      </c>
    </row>
  </sheetData>
  <mergeCells count="35">
    <mergeCell ref="F1:Z1"/>
    <mergeCell ref="B5:B14"/>
    <mergeCell ref="C5:C14"/>
    <mergeCell ref="A15:A24"/>
    <mergeCell ref="B15:B24"/>
    <mergeCell ref="C15:C24"/>
    <mergeCell ref="A1:D1"/>
    <mergeCell ref="A2:D2"/>
    <mergeCell ref="A96:A105"/>
    <mergeCell ref="B96:B105"/>
    <mergeCell ref="C96:C105"/>
    <mergeCell ref="A66:A75"/>
    <mergeCell ref="B66:B75"/>
    <mergeCell ref="C66:C75"/>
    <mergeCell ref="A76:A85"/>
    <mergeCell ref="B76:B85"/>
    <mergeCell ref="C76:C85"/>
    <mergeCell ref="A86:A95"/>
    <mergeCell ref="B86:B95"/>
    <mergeCell ref="C86:C95"/>
    <mergeCell ref="A56:A65"/>
    <mergeCell ref="B56:B65"/>
    <mergeCell ref="C56:C65"/>
    <mergeCell ref="A4:C4"/>
    <mergeCell ref="A45:A54"/>
    <mergeCell ref="B45:B54"/>
    <mergeCell ref="C45:C54"/>
    <mergeCell ref="A55:C55"/>
    <mergeCell ref="A5:A14"/>
    <mergeCell ref="A25:A34"/>
    <mergeCell ref="B25:B34"/>
    <mergeCell ref="C25:C34"/>
    <mergeCell ref="A35:A44"/>
    <mergeCell ref="B35:B44"/>
    <mergeCell ref="C35:C44"/>
  </mergeCells>
  <conditionalFormatting sqref="F2:Z2">
    <cfRule type="cellIs" dxfId="0" priority="1" operator="equal">
      <formula>0</formula>
    </cfRule>
  </conditionalFormatting>
  <pageMargins left="0.7" right="0.7" top="0.75" bottom="0.75" header="0.3" footer="0.3"/>
  <pageSetup paperSize="9" scale="39" orientation="portrait" r:id="rId1"/>
  <ignoredErrors>
    <ignoredError sqref="E55" formula="1"/>
  </ignoredError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árok17">
    <tabColor rgb="FFFFFF00"/>
  </sheetPr>
  <dimension ref="A1:D14"/>
  <sheetViews>
    <sheetView zoomScale="80" zoomScaleNormal="80" workbookViewId="0">
      <pane ySplit="1" topLeftCell="A2" activePane="bottomLeft" state="frozen"/>
      <selection activeCell="H74" sqref="H74"/>
      <selection pane="bottomLeft" activeCell="B8" sqref="B8:B9"/>
    </sheetView>
  </sheetViews>
  <sheetFormatPr defaultColWidth="8.7109375" defaultRowHeight="15"/>
  <cols>
    <col min="1" max="1" width="32.28515625" style="4" customWidth="1"/>
    <col min="2" max="2" width="66.7109375" style="4" customWidth="1"/>
    <col min="3" max="3" width="14.28515625" style="6" customWidth="1"/>
    <col min="4" max="4" width="23.42578125" style="4" customWidth="1"/>
    <col min="5" max="16384" width="8.7109375" style="4"/>
  </cols>
  <sheetData>
    <row r="1" spans="1:4" ht="18" thickTop="1" thickBot="1">
      <c r="A1" s="1" t="s">
        <v>0</v>
      </c>
      <c r="B1" s="2" t="s">
        <v>1</v>
      </c>
      <c r="C1" s="5" t="s">
        <v>10</v>
      </c>
      <c r="D1" s="3" t="s">
        <v>2</v>
      </c>
    </row>
    <row r="2" spans="1:4" ht="150" thickTop="1" thickBot="1">
      <c r="A2" s="324" t="s">
        <v>3</v>
      </c>
      <c r="B2" s="325" t="s">
        <v>4</v>
      </c>
      <c r="C2" s="326" t="s">
        <v>11</v>
      </c>
      <c r="D2" s="150">
        <v>10</v>
      </c>
    </row>
    <row r="3" spans="1:4" ht="41.65" customHeight="1">
      <c r="A3" s="849" t="s">
        <v>5</v>
      </c>
      <c r="B3" s="860" t="s">
        <v>14</v>
      </c>
      <c r="C3" s="862" t="s">
        <v>12</v>
      </c>
      <c r="D3" s="851">
        <v>0.04</v>
      </c>
    </row>
    <row r="4" spans="1:4" ht="44.65" customHeight="1" thickBot="1">
      <c r="A4" s="850"/>
      <c r="B4" s="861"/>
      <c r="C4" s="863"/>
      <c r="D4" s="852"/>
    </row>
    <row r="5" spans="1:4" ht="49.5">
      <c r="A5" s="849" t="s">
        <v>6</v>
      </c>
      <c r="B5" s="327" t="s">
        <v>7</v>
      </c>
      <c r="C5" s="862" t="s">
        <v>12</v>
      </c>
      <c r="D5" s="853">
        <v>0.05</v>
      </c>
    </row>
    <row r="6" spans="1:4" ht="50.25" thickBot="1">
      <c r="A6" s="850"/>
      <c r="B6" s="325" t="s">
        <v>8</v>
      </c>
      <c r="C6" s="863"/>
      <c r="D6" s="854"/>
    </row>
    <row r="7" spans="1:4" ht="33.75" thickBot="1">
      <c r="A7" s="328" t="s">
        <v>139</v>
      </c>
      <c r="B7" s="329" t="s">
        <v>1103</v>
      </c>
      <c r="C7" s="330" t="s">
        <v>13</v>
      </c>
      <c r="D7" s="592">
        <v>1963</v>
      </c>
    </row>
    <row r="8" spans="1:4" ht="15" customHeight="1">
      <c r="A8" s="855" t="s">
        <v>9</v>
      </c>
      <c r="B8" s="845" t="s">
        <v>240</v>
      </c>
      <c r="C8" s="864" t="s">
        <v>15</v>
      </c>
      <c r="D8" s="857">
        <f>$D$7*1.352/(D12/12)</f>
        <v>16.917775298804781</v>
      </c>
    </row>
    <row r="9" spans="1:4" ht="15.75" thickBot="1">
      <c r="A9" s="856"/>
      <c r="B9" s="859"/>
      <c r="C9" s="865"/>
      <c r="D9" s="858"/>
    </row>
    <row r="10" spans="1:4">
      <c r="A10" s="843" t="s">
        <v>140</v>
      </c>
      <c r="B10" s="845" t="s">
        <v>455</v>
      </c>
      <c r="C10" s="841" t="s">
        <v>15</v>
      </c>
      <c r="D10" s="847">
        <v>6.85</v>
      </c>
    </row>
    <row r="11" spans="1:4" ht="20.25" customHeight="1" thickBot="1">
      <c r="A11" s="844"/>
      <c r="B11" s="846"/>
      <c r="C11" s="842"/>
      <c r="D11" s="848"/>
    </row>
    <row r="12" spans="1:4" ht="72" customHeight="1" thickBot="1">
      <c r="A12" s="331" t="s">
        <v>237</v>
      </c>
      <c r="B12" s="329" t="s">
        <v>789</v>
      </c>
      <c r="C12" s="332" t="s">
        <v>238</v>
      </c>
      <c r="D12" s="593">
        <v>1882.5</v>
      </c>
    </row>
    <row r="13" spans="1:4" ht="72" customHeight="1" thickBot="1">
      <c r="A13" s="331" t="s">
        <v>239</v>
      </c>
      <c r="B13" s="329" t="s">
        <v>790</v>
      </c>
      <c r="C13" s="332" t="s">
        <v>238</v>
      </c>
      <c r="D13" s="594">
        <v>2088</v>
      </c>
    </row>
    <row r="14" spans="1:4" ht="21" customHeight="1" thickBot="1">
      <c r="A14" s="331" t="s">
        <v>25</v>
      </c>
      <c r="B14" s="331" t="s">
        <v>109</v>
      </c>
      <c r="C14" s="332" t="s">
        <v>11</v>
      </c>
      <c r="D14" s="595">
        <v>2025</v>
      </c>
    </row>
  </sheetData>
  <mergeCells count="15">
    <mergeCell ref="C10:C11"/>
    <mergeCell ref="A10:A11"/>
    <mergeCell ref="B10:B11"/>
    <mergeCell ref="D10:D11"/>
    <mergeCell ref="A3:A4"/>
    <mergeCell ref="D3:D4"/>
    <mergeCell ref="A5:A6"/>
    <mergeCell ref="D5:D6"/>
    <mergeCell ref="A8:A9"/>
    <mergeCell ref="D8:D9"/>
    <mergeCell ref="B8:B9"/>
    <mergeCell ref="B3:B4"/>
    <mergeCell ref="C3:C4"/>
    <mergeCell ref="C8:C9"/>
    <mergeCell ref="C5:C6"/>
  </mergeCells>
  <pageMargins left="0.7" right="0.7" top="0.75" bottom="0.75" header="0.3" footer="0.3"/>
  <pageSetup paperSize="9" scale="63"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árok31"/>
  <dimension ref="A1:A9"/>
  <sheetViews>
    <sheetView workbookViewId="0">
      <selection activeCell="A2" sqref="A2:A9"/>
    </sheetView>
  </sheetViews>
  <sheetFormatPr defaultColWidth="8.7109375" defaultRowHeight="15"/>
  <cols>
    <col min="1" max="1" width="37.42578125" bestFit="1" customWidth="1"/>
  </cols>
  <sheetData>
    <row r="1" spans="1:1">
      <c r="A1" t="s">
        <v>452</v>
      </c>
    </row>
    <row r="2" spans="1:1">
      <c r="A2" t="s">
        <v>445</v>
      </c>
    </row>
    <row r="3" spans="1:1">
      <c r="A3" t="s">
        <v>377</v>
      </c>
    </row>
    <row r="4" spans="1:1">
      <c r="A4" t="s">
        <v>446</v>
      </c>
    </row>
    <row r="5" spans="1:1">
      <c r="A5" t="s">
        <v>447</v>
      </c>
    </row>
    <row r="6" spans="1:1">
      <c r="A6" t="s">
        <v>448</v>
      </c>
    </row>
    <row r="7" spans="1:1">
      <c r="A7" t="s">
        <v>449</v>
      </c>
    </row>
    <row r="8" spans="1:1">
      <c r="A8" t="s">
        <v>450</v>
      </c>
    </row>
    <row r="9" spans="1:1">
      <c r="A9" t="s">
        <v>451</v>
      </c>
    </row>
  </sheetData>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árok19"/>
  <dimension ref="A1:AC3"/>
  <sheetViews>
    <sheetView view="pageBreakPreview" zoomScale="60" zoomScaleNormal="60" workbookViewId="0">
      <selection activeCell="AC2" sqref="AC2"/>
    </sheetView>
  </sheetViews>
  <sheetFormatPr defaultColWidth="8.7109375" defaultRowHeight="15"/>
  <sheetData>
    <row r="1" spans="1:29">
      <c r="A1" t="s">
        <v>170</v>
      </c>
      <c r="D1" s="197"/>
      <c r="E1" s="197"/>
      <c r="F1" s="197"/>
      <c r="G1" s="197"/>
      <c r="H1" s="197"/>
      <c r="I1" s="197"/>
      <c r="J1" s="197"/>
      <c r="K1" s="197"/>
      <c r="L1" s="197"/>
      <c r="M1" s="197"/>
      <c r="N1" s="197"/>
      <c r="O1" s="197"/>
      <c r="P1" s="197"/>
      <c r="Q1" s="197"/>
      <c r="R1" s="197"/>
      <c r="S1" s="197"/>
      <c r="T1" s="197"/>
    </row>
    <row r="2" spans="1:29">
      <c r="A2" t="s">
        <v>171</v>
      </c>
      <c r="D2" s="197"/>
      <c r="E2" s="197"/>
      <c r="F2" s="197"/>
      <c r="G2" s="197"/>
      <c r="H2" s="197"/>
      <c r="I2" s="197"/>
      <c r="J2" s="197"/>
      <c r="K2" s="197"/>
      <c r="L2" s="197"/>
      <c r="M2" s="197"/>
      <c r="N2" s="197"/>
      <c r="O2" s="197"/>
      <c r="P2" s="197"/>
      <c r="Q2" s="197"/>
      <c r="R2" s="197"/>
      <c r="S2" s="197"/>
      <c r="T2" s="197"/>
    </row>
    <row r="3" spans="1:29">
      <c r="A3" s="198" t="s">
        <v>172</v>
      </c>
      <c r="D3" s="197"/>
      <c r="E3" s="197"/>
      <c r="F3" s="197"/>
      <c r="G3" s="197"/>
      <c r="H3" s="197"/>
      <c r="I3" s="197"/>
      <c r="J3" s="197"/>
      <c r="K3" s="197"/>
      <c r="L3" s="197"/>
      <c r="M3" s="197"/>
      <c r="N3" s="197"/>
      <c r="O3" s="197"/>
      <c r="P3" s="197"/>
      <c r="Q3" s="197"/>
      <c r="R3" s="197"/>
      <c r="S3" s="197"/>
      <c r="AC3" s="199" t="s">
        <v>125</v>
      </c>
    </row>
  </sheetData>
  <pageMargins left="0.7" right="0.7" top="0.75" bottom="0.75" header="0.3" footer="0.3"/>
  <pageSetup paperSize="9" scale="33" orientation="portrait" r:id="rId1"/>
  <colBreaks count="1" manualBreakCount="1">
    <brk id="27" max="42" man="1"/>
  </col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árok3">
    <tabColor theme="0" tint="-0.34998626667073579"/>
  </sheetPr>
  <dimension ref="A1:BA27"/>
  <sheetViews>
    <sheetView zoomScale="85" zoomScaleNormal="85" workbookViewId="0">
      <pane ySplit="3" topLeftCell="A4" activePane="bottomLeft" state="frozen"/>
      <selection pane="bottomLeft" activeCell="D19" sqref="D19:E23"/>
    </sheetView>
  </sheetViews>
  <sheetFormatPr defaultColWidth="9.140625" defaultRowHeight="15"/>
  <cols>
    <col min="3" max="3" width="32.28515625" customWidth="1"/>
    <col min="4" max="4" width="14.5703125" bestFit="1" customWidth="1"/>
    <col min="5" max="5" width="14.7109375" bestFit="1" customWidth="1"/>
    <col min="6" max="7" width="14.5703125" bestFit="1" customWidth="1"/>
    <col min="8" max="25" width="13.7109375" customWidth="1"/>
    <col min="31" max="31" width="32" customWidth="1"/>
    <col min="32" max="32" width="17.42578125" bestFit="1" customWidth="1"/>
    <col min="33" max="37" width="16.42578125" customWidth="1"/>
    <col min="38" max="53" width="13" customWidth="1"/>
  </cols>
  <sheetData>
    <row r="1" spans="1:53" ht="21.75" customHeight="1">
      <c r="A1" s="469" t="s">
        <v>253</v>
      </c>
      <c r="B1" s="469"/>
      <c r="C1" s="469"/>
      <c r="D1" s="469"/>
      <c r="E1" s="469"/>
      <c r="F1" s="469"/>
      <c r="G1" s="469"/>
      <c r="H1" s="469"/>
      <c r="I1" s="469"/>
      <c r="J1" s="469"/>
      <c r="K1" s="469"/>
      <c r="L1" s="469"/>
      <c r="M1" s="469"/>
      <c r="N1" s="469"/>
      <c r="O1" s="469"/>
      <c r="P1" s="469"/>
      <c r="Q1" s="469"/>
      <c r="R1" s="469"/>
      <c r="S1" s="469"/>
      <c r="T1" s="469"/>
      <c r="U1" s="469"/>
      <c r="V1" s="469"/>
      <c r="W1" s="469"/>
      <c r="X1" s="469"/>
      <c r="Y1" s="469"/>
      <c r="AC1" s="469" t="s">
        <v>252</v>
      </c>
      <c r="AD1" s="469"/>
      <c r="AE1" s="469"/>
      <c r="AF1" s="469"/>
      <c r="AG1" s="469"/>
      <c r="AH1" s="469"/>
      <c r="AI1" s="469"/>
      <c r="AJ1" s="469"/>
      <c r="AK1" s="469"/>
      <c r="AL1" s="469"/>
      <c r="AM1" s="469"/>
      <c r="AN1" s="469"/>
      <c r="AO1" s="469"/>
      <c r="AP1" s="469"/>
      <c r="AQ1" s="469"/>
      <c r="AR1" s="469"/>
      <c r="AS1" s="469"/>
      <c r="AT1" s="469"/>
      <c r="AU1" s="469"/>
      <c r="AV1" s="469"/>
      <c r="AW1" s="469"/>
      <c r="AX1" s="469"/>
      <c r="AY1" s="469"/>
      <c r="AZ1" s="469"/>
      <c r="BA1" s="469"/>
    </row>
    <row r="2" spans="1:53" ht="75">
      <c r="A2" s="712"/>
      <c r="B2" s="712"/>
      <c r="C2" s="712"/>
      <c r="D2" s="454" t="s">
        <v>102</v>
      </c>
      <c r="E2" s="468" t="str">
        <f>MODULY_CBA!$B3</f>
        <v>Centrálny informačný systém na riadenie IT aktív</v>
      </c>
      <c r="F2" s="468" t="str">
        <f>MODULY_CBA!$B4</f>
        <v>Snow Risk Monitor</v>
      </c>
      <c r="G2" s="468" t="str">
        <f>MODULY_CBA!$B5</f>
        <v>BizzDesign / APM</v>
      </c>
      <c r="H2" s="468" t="str">
        <f>MODULY_CBA!$B6</f>
        <v>FinOps platforma</v>
      </c>
      <c r="I2" s="468">
        <f>MODULY_CBA!$B7</f>
        <v>0</v>
      </c>
      <c r="J2" s="468">
        <f>MODULY_CBA!$B8</f>
        <v>0</v>
      </c>
      <c r="K2" s="468">
        <f>MODULY_CBA!$B9</f>
        <v>0</v>
      </c>
      <c r="L2" s="468">
        <f>MODULY_CBA!$B10</f>
        <v>0</v>
      </c>
      <c r="M2" s="468">
        <f>MODULY_CBA!$B11</f>
        <v>0</v>
      </c>
      <c r="N2" s="468">
        <f>MODULY_CBA!$B12</f>
        <v>0</v>
      </c>
      <c r="O2" s="468">
        <f>MODULY_CBA!$B13</f>
        <v>0</v>
      </c>
      <c r="P2" s="468">
        <f>MODULY_CBA!$B14</f>
        <v>0</v>
      </c>
      <c r="Q2" s="468">
        <f>MODULY_CBA!$B15</f>
        <v>0</v>
      </c>
      <c r="R2" s="468">
        <f>MODULY_CBA!$B16</f>
        <v>0</v>
      </c>
      <c r="S2" s="468">
        <f>MODULY_CBA!$B17</f>
        <v>0</v>
      </c>
      <c r="T2" s="468">
        <f>MODULY_CBA!$B18</f>
        <v>0</v>
      </c>
      <c r="U2" s="468">
        <f>MODULY_CBA!$B19</f>
        <v>0</v>
      </c>
      <c r="V2" s="468">
        <f>MODULY_CBA!$B20</f>
        <v>0</v>
      </c>
      <c r="W2" s="468">
        <f>MODULY_CBA!$B21</f>
        <v>0</v>
      </c>
      <c r="X2" s="468">
        <f>MODULY_CBA!$B22</f>
        <v>0</v>
      </c>
      <c r="Y2" s="468">
        <f>MODULY_CBA!$B23</f>
        <v>0</v>
      </c>
      <c r="AC2" s="712"/>
      <c r="AD2" s="712"/>
      <c r="AE2" s="712"/>
      <c r="AF2" s="454" t="s">
        <v>102</v>
      </c>
      <c r="AG2" s="468" t="str">
        <f>MODULY_CBA!$B3</f>
        <v>Centrálny informačný systém na riadenie IT aktív</v>
      </c>
      <c r="AH2" s="468" t="str">
        <f>MODULY_CBA!$B4</f>
        <v>Snow Risk Monitor</v>
      </c>
      <c r="AI2" s="468" t="str">
        <f>MODULY_CBA!$B5</f>
        <v>BizzDesign / APM</v>
      </c>
      <c r="AJ2" s="468" t="str">
        <f>MODULY_CBA!$B6</f>
        <v>FinOps platforma</v>
      </c>
      <c r="AK2" s="468">
        <f>MODULY_CBA!$B7</f>
        <v>0</v>
      </c>
      <c r="AL2" s="468">
        <f>MODULY_CBA!$B8</f>
        <v>0</v>
      </c>
      <c r="AM2" s="468">
        <f>MODULY_CBA!$B9</f>
        <v>0</v>
      </c>
      <c r="AN2" s="468">
        <f>MODULY_CBA!$B10</f>
        <v>0</v>
      </c>
      <c r="AO2" s="468">
        <f>MODULY_CBA!$B11</f>
        <v>0</v>
      </c>
      <c r="AP2" s="468">
        <f>MODULY_CBA!$B12</f>
        <v>0</v>
      </c>
      <c r="AQ2" s="468">
        <f>MODULY_CBA!$B13</f>
        <v>0</v>
      </c>
      <c r="AR2" s="468">
        <f>MODULY_CBA!$B14</f>
        <v>0</v>
      </c>
      <c r="AS2" s="468">
        <f>MODULY_CBA!$B15</f>
        <v>0</v>
      </c>
      <c r="AT2" s="468">
        <f>MODULY_CBA!$B16</f>
        <v>0</v>
      </c>
      <c r="AU2" s="468">
        <f>MODULY_CBA!$B17</f>
        <v>0</v>
      </c>
      <c r="AV2" s="468">
        <f>MODULY_CBA!$B18</f>
        <v>0</v>
      </c>
      <c r="AW2" s="468">
        <f>MODULY_CBA!$B19</f>
        <v>0</v>
      </c>
      <c r="AX2" s="468">
        <f>MODULY_CBA!$B20</f>
        <v>0</v>
      </c>
      <c r="AY2" s="468">
        <f>MODULY_CBA!$B21</f>
        <v>0</v>
      </c>
      <c r="AZ2" s="468">
        <f>MODULY_CBA!$B22</f>
        <v>0</v>
      </c>
      <c r="BA2" s="468">
        <f>MODULY_CBA!$B23</f>
        <v>0</v>
      </c>
    </row>
    <row r="3" spans="1:53">
      <c r="A3" s="455" t="s">
        <v>257</v>
      </c>
      <c r="B3" s="455"/>
      <c r="C3" s="455"/>
      <c r="D3" s="456">
        <f>SUM(E3:Y3)</f>
        <v>30731387.503500003</v>
      </c>
      <c r="E3" s="456">
        <f>E4+E5+E9+E13+E14</f>
        <v>23832898.594548721</v>
      </c>
      <c r="F3" s="456">
        <f t="shared" ref="F3:Y3" si="0">F4+F5+F9+F13+F14</f>
        <v>1879225.9829276395</v>
      </c>
      <c r="G3" s="456">
        <f t="shared" si="0"/>
        <v>4401361.3505616961</v>
      </c>
      <c r="H3" s="456">
        <f t="shared" si="0"/>
        <v>617901.57546194503</v>
      </c>
      <c r="I3" s="456">
        <f t="shared" si="0"/>
        <v>0</v>
      </c>
      <c r="J3" s="456">
        <f t="shared" si="0"/>
        <v>0</v>
      </c>
      <c r="K3" s="456">
        <f t="shared" si="0"/>
        <v>0</v>
      </c>
      <c r="L3" s="456">
        <f t="shared" si="0"/>
        <v>0</v>
      </c>
      <c r="M3" s="456">
        <f t="shared" si="0"/>
        <v>0</v>
      </c>
      <c r="N3" s="456">
        <f t="shared" si="0"/>
        <v>0</v>
      </c>
      <c r="O3" s="456">
        <f t="shared" si="0"/>
        <v>0</v>
      </c>
      <c r="P3" s="456">
        <f t="shared" si="0"/>
        <v>0</v>
      </c>
      <c r="Q3" s="456">
        <f t="shared" si="0"/>
        <v>0</v>
      </c>
      <c r="R3" s="456">
        <f t="shared" si="0"/>
        <v>0</v>
      </c>
      <c r="S3" s="456">
        <f t="shared" si="0"/>
        <v>0</v>
      </c>
      <c r="T3" s="456">
        <f t="shared" si="0"/>
        <v>0</v>
      </c>
      <c r="U3" s="456">
        <f t="shared" si="0"/>
        <v>0</v>
      </c>
      <c r="V3" s="456">
        <f t="shared" si="0"/>
        <v>0</v>
      </c>
      <c r="W3" s="456">
        <f t="shared" si="0"/>
        <v>0</v>
      </c>
      <c r="X3" s="456">
        <f t="shared" si="0"/>
        <v>0</v>
      </c>
      <c r="Y3" s="456">
        <f t="shared" si="0"/>
        <v>0</v>
      </c>
      <c r="AC3" s="455" t="s">
        <v>257</v>
      </c>
      <c r="AD3" s="455"/>
      <c r="AE3" s="455"/>
      <c r="AF3" s="456">
        <f>SUM(AG3:BA3)</f>
        <v>26181214.400749046</v>
      </c>
      <c r="AG3" s="456">
        <f>AG4+AG5+AG9+AG13+AG14</f>
        <v>19808560.914955221</v>
      </c>
      <c r="AH3" s="456">
        <f>AH4+AH5+AH9+AH13+AH14</f>
        <v>1565875.4086500737</v>
      </c>
      <c r="AI3" s="456">
        <f>AI4+AI5+AI9+AI13+AI14</f>
        <v>4243284.3682415988</v>
      </c>
      <c r="AJ3" s="456">
        <f>AJ4+AJ5+AJ9+AJ13+AJ14</f>
        <v>563493.7089021547</v>
      </c>
      <c r="AK3" s="456">
        <f>AK5+AK9+AK13+AK14</f>
        <v>0</v>
      </c>
      <c r="AL3" s="456">
        <f>AL4+AL5+AL9+AL13+AL14</f>
        <v>0</v>
      </c>
      <c r="AM3" s="456">
        <f>AM4+AM5+AM9+AM13+AM14</f>
        <v>0</v>
      </c>
      <c r="AN3" s="456">
        <f>AN4+AN5+AN9+AN13+AN14</f>
        <v>0</v>
      </c>
      <c r="AO3" s="456">
        <f>AO5+AO9+AO13+AO14</f>
        <v>0</v>
      </c>
      <c r="AP3" s="456">
        <f>AP4+AP5+AP9+AP13+AP14</f>
        <v>0</v>
      </c>
      <c r="AQ3" s="456">
        <f>AQ4+AQ5+AQ9+AQ13+AQ14</f>
        <v>0</v>
      </c>
      <c r="AR3" s="456">
        <f>AR4+AR5+AR9+AR13+AR14</f>
        <v>0</v>
      </c>
      <c r="AS3" s="456">
        <f>AS5+AS9+AS13+AS14</f>
        <v>0</v>
      </c>
      <c r="AT3" s="456">
        <f>AT4+AT5+AT9+AT13+AT14</f>
        <v>0</v>
      </c>
      <c r="AU3" s="456">
        <f>AU4+AU5+AU9+AU13+AU14</f>
        <v>0</v>
      </c>
      <c r="AV3" s="456">
        <f>AV4+AV5+AV9+AV13+AV14</f>
        <v>0</v>
      </c>
      <c r="AW3" s="456">
        <f>AW5+AW9+AW13+AW14</f>
        <v>0</v>
      </c>
      <c r="AX3" s="456">
        <f>AX4+AX5+AX9+AX13+AX14</f>
        <v>0</v>
      </c>
      <c r="AY3" s="456">
        <f>AY4+AY5+AY9+AY13+AY14</f>
        <v>0</v>
      </c>
      <c r="AZ3" s="456">
        <f>AZ4+AZ5+AZ9+AZ13+AZ14</f>
        <v>0</v>
      </c>
      <c r="BA3" s="456">
        <f>BA5+BA9+BA13+BA14</f>
        <v>0</v>
      </c>
    </row>
    <row r="4" spans="1:53">
      <c r="A4" s="457"/>
      <c r="B4" s="458" t="s">
        <v>66</v>
      </c>
      <c r="C4" s="458"/>
      <c r="D4" s="459">
        <f>SUM(E4:Y4)</f>
        <v>0</v>
      </c>
      <c r="E4" s="459">
        <f>SUM('Parametre - Agendové IS'!I106:I115)</f>
        <v>0</v>
      </c>
      <c r="F4" s="459">
        <f>SUM('Parametre - Agendové IS'!J106:J115)</f>
        <v>0</v>
      </c>
      <c r="G4" s="459">
        <f>SUM('Parametre - Agendové IS'!K106:K115)</f>
        <v>0</v>
      </c>
      <c r="H4" s="459">
        <f>SUM('Parametre - Agendové IS'!L106:L115)</f>
        <v>0</v>
      </c>
      <c r="I4" s="459">
        <f>SUM('Parametre - Agendové IS'!M106:M115)</f>
        <v>0</v>
      </c>
      <c r="J4" s="459">
        <f>SUM('Parametre - Agendové IS'!N106:N115)</f>
        <v>0</v>
      </c>
      <c r="K4" s="459">
        <f>SUM('Parametre - Agendové IS'!O106:O115)</f>
        <v>0</v>
      </c>
      <c r="L4" s="459">
        <f>SUM('Parametre - Agendové IS'!P106:P115)</f>
        <v>0</v>
      </c>
      <c r="M4" s="459">
        <f>SUM('Parametre - Agendové IS'!Q106:Q115)</f>
        <v>0</v>
      </c>
      <c r="N4" s="459">
        <f>SUM('Parametre - Agendové IS'!R106:R115)</f>
        <v>0</v>
      </c>
      <c r="O4" s="459">
        <f>SUM('Parametre - Agendové IS'!S106:S115)</f>
        <v>0</v>
      </c>
      <c r="P4" s="459">
        <f>SUM('Parametre - Agendové IS'!T106:T115)</f>
        <v>0</v>
      </c>
      <c r="Q4" s="459">
        <f>SUM('Parametre - Agendové IS'!U106:U115)</f>
        <v>0</v>
      </c>
      <c r="R4" s="459">
        <f>SUM('Parametre - Agendové IS'!V106:V115)</f>
        <v>0</v>
      </c>
      <c r="S4" s="459">
        <f>SUM('Parametre - Agendové IS'!W106:W115)</f>
        <v>0</v>
      </c>
      <c r="T4" s="459">
        <f>SUM('Parametre - Agendové IS'!X106:X115)</f>
        <v>0</v>
      </c>
      <c r="U4" s="459">
        <f>SUM('Parametre - Agendové IS'!Y106:Y115)</f>
        <v>0</v>
      </c>
      <c r="V4" s="459">
        <f>SUM('Parametre - Agendové IS'!Z106:Z115)</f>
        <v>0</v>
      </c>
      <c r="W4" s="459">
        <f>SUM('Parametre - Agendové IS'!AA106:AA115)</f>
        <v>0</v>
      </c>
      <c r="X4" s="459">
        <f>SUM('Parametre - Agendové IS'!AB106:AB115)</f>
        <v>0</v>
      </c>
      <c r="Y4" s="459">
        <f>SUM('Parametre - Agendové IS'!AC106:AC115)</f>
        <v>0</v>
      </c>
      <c r="AC4" s="457"/>
      <c r="AD4" s="458" t="s">
        <v>66</v>
      </c>
      <c r="AE4" s="458"/>
      <c r="AF4" s="459">
        <f>SUM(AG4:BA4)</f>
        <v>0</v>
      </c>
      <c r="AG4" s="459">
        <f>'Parametre - Agendové IS'!I106+NPV(Faktory!$D$5,'Parametre - Agendové IS'!I107:I115)</f>
        <v>0</v>
      </c>
      <c r="AH4" s="459">
        <f>'Parametre - Agendové IS'!J106+NPV(Faktory!$D$5,'Parametre - Agendové IS'!J107:J115)</f>
        <v>0</v>
      </c>
      <c r="AI4" s="459">
        <f>'Parametre - Agendové IS'!K106+NPV(Faktory!$D$5,'Parametre - Agendové IS'!K107:K115)</f>
        <v>0</v>
      </c>
      <c r="AJ4" s="459">
        <f>'Parametre - Agendové IS'!L106+NPV(Faktory!$D$5,'Parametre - Agendové IS'!L107:L115)</f>
        <v>0</v>
      </c>
      <c r="AK4" s="459">
        <f>'Parametre - Agendové IS'!M106+NPV(Faktory!$D$5,'Parametre - Agendové IS'!M107:M115)</f>
        <v>0</v>
      </c>
      <c r="AL4" s="459">
        <f>'Parametre - Agendové IS'!N106+NPV(Faktory!$D$5,'Parametre - Agendové IS'!N107:N115)</f>
        <v>0</v>
      </c>
      <c r="AM4" s="459">
        <f>'Parametre - Agendové IS'!O106+NPV(Faktory!$D$5,'Parametre - Agendové IS'!O107:O115)</f>
        <v>0</v>
      </c>
      <c r="AN4" s="459">
        <f>'Parametre - Agendové IS'!P106+NPV(Faktory!$D$5,'Parametre - Agendové IS'!P107:P115)</f>
        <v>0</v>
      </c>
      <c r="AO4" s="459">
        <f>'Parametre - Agendové IS'!Q106+NPV(Faktory!$D$5,'Parametre - Agendové IS'!Q107:Q115)</f>
        <v>0</v>
      </c>
      <c r="AP4" s="459">
        <f>'Parametre - Agendové IS'!R106+NPV(Faktory!$D$5,'Parametre - Agendové IS'!R107:R115)</f>
        <v>0</v>
      </c>
      <c r="AQ4" s="459">
        <f>'Parametre - Agendové IS'!S106+NPV(Faktory!$D$5,'Parametre - Agendové IS'!S107:S115)</f>
        <v>0</v>
      </c>
      <c r="AR4" s="459">
        <f>'Parametre - Agendové IS'!T106+NPV(Faktory!$D$5,'Parametre - Agendové IS'!T107:T115)</f>
        <v>0</v>
      </c>
      <c r="AS4" s="459">
        <f>'Parametre - Agendové IS'!U106+NPV(Faktory!$D$5,'Parametre - Agendové IS'!U107:U115)</f>
        <v>0</v>
      </c>
      <c r="AT4" s="459">
        <f>'Parametre - Agendové IS'!V106+NPV(Faktory!$D$5,'Parametre - Agendové IS'!V107:V115)</f>
        <v>0</v>
      </c>
      <c r="AU4" s="459">
        <f>'Parametre - Agendové IS'!W106+NPV(Faktory!$D$5,'Parametre - Agendové IS'!W107:W115)</f>
        <v>0</v>
      </c>
      <c r="AV4" s="459">
        <f>'Parametre - Agendové IS'!X106+NPV(Faktory!$D$5,'Parametre - Agendové IS'!X107:X115)</f>
        <v>0</v>
      </c>
      <c r="AW4" s="459">
        <f>'Parametre - Agendové IS'!Y106+NPV(Faktory!$D$5,'Parametre - Agendové IS'!Y107:Y115)</f>
        <v>0</v>
      </c>
      <c r="AX4" s="459">
        <f>'Parametre - Agendové IS'!Z106+NPV(Faktory!$D$5,'Parametre - Agendové IS'!Z107:Z115)</f>
        <v>0</v>
      </c>
      <c r="AY4" s="459">
        <f>'Parametre - Agendové IS'!AA106+NPV(Faktory!$D$5,'Parametre - Agendové IS'!AA107:AA115)</f>
        <v>0</v>
      </c>
      <c r="AZ4" s="459">
        <f>'Parametre - Agendové IS'!AB106+NPV(Faktory!$D$5,'Parametre - Agendové IS'!AB107:AB115)</f>
        <v>0</v>
      </c>
      <c r="BA4" s="459">
        <f>'Parametre - Agendové IS'!AC106+NPV(Faktory!$D$5,'Parametre - Agendové IS'!AC107:AC115)</f>
        <v>0</v>
      </c>
    </row>
    <row r="5" spans="1:53">
      <c r="A5" s="457"/>
      <c r="B5" s="458" t="s">
        <v>164</v>
      </c>
      <c r="C5" s="458"/>
      <c r="D5" s="459">
        <f>SUM(E5:Y5)</f>
        <v>7179289.1999999983</v>
      </c>
      <c r="E5" s="459">
        <f>SUM(E6:E8)</f>
        <v>6210918.1499999994</v>
      </c>
      <c r="F5" s="459">
        <f>SUM(F6:F8)</f>
        <v>653469.97499999998</v>
      </c>
      <c r="G5" s="459">
        <f>SUM(G6:G8)</f>
        <v>203469.97500000001</v>
      </c>
      <c r="H5" s="459">
        <f>SUM(H6:H8)</f>
        <v>111431.09999999998</v>
      </c>
      <c r="I5" s="459">
        <f>SUM(I6:I8)</f>
        <v>0</v>
      </c>
      <c r="J5" s="459">
        <f>SUM(J6+J7)</f>
        <v>0</v>
      </c>
      <c r="K5" s="459">
        <f>SUM(K6:K8)</f>
        <v>0</v>
      </c>
      <c r="L5" s="459">
        <f>SUM(L6:L8)</f>
        <v>0</v>
      </c>
      <c r="M5" s="459">
        <f>SUM(M6:M8)</f>
        <v>0</v>
      </c>
      <c r="N5" s="459">
        <f>SUM(N6+N7)</f>
        <v>0</v>
      </c>
      <c r="O5" s="459">
        <f>SUM(O6:O8)</f>
        <v>0</v>
      </c>
      <c r="P5" s="459">
        <f>SUM(P6:P8)</f>
        <v>0</v>
      </c>
      <c r="Q5" s="459">
        <f>SUM(Q6:Q8)</f>
        <v>0</v>
      </c>
      <c r="R5" s="459">
        <f>SUM(R6+R7)</f>
        <v>0</v>
      </c>
      <c r="S5" s="459">
        <f>SUM(S6:S8)</f>
        <v>0</v>
      </c>
      <c r="T5" s="459">
        <f>SUM(T6:T8)</f>
        <v>0</v>
      </c>
      <c r="U5" s="459">
        <f>SUM(U6:U8)</f>
        <v>0</v>
      </c>
      <c r="V5" s="459">
        <f>SUM(V6+V7)</f>
        <v>0</v>
      </c>
      <c r="W5" s="459">
        <f>SUM(W6:W8)</f>
        <v>0</v>
      </c>
      <c r="X5" s="459">
        <f>SUM(X6:X8)</f>
        <v>0</v>
      </c>
      <c r="Y5" s="459">
        <f>SUM(Y6:Y8)</f>
        <v>0</v>
      </c>
      <c r="AC5" s="457"/>
      <c r="AD5" s="458" t="s">
        <v>164</v>
      </c>
      <c r="AE5" s="458"/>
      <c r="AF5" s="459">
        <f>SUM(AG5:BA5)</f>
        <v>6672794.4907029467</v>
      </c>
      <c r="AG5" s="459">
        <f>SUM(AG6:AG8)</f>
        <v>5773154.0825396813</v>
      </c>
      <c r="AH5" s="459">
        <f t="shared" ref="AH5:BA5" si="1">SUM(AH6:AH8)</f>
        <v>613464.82993197278</v>
      </c>
      <c r="AI5" s="459">
        <f t="shared" si="1"/>
        <v>184553.26530612246</v>
      </c>
      <c r="AJ5" s="459">
        <f t="shared" si="1"/>
        <v>101622.31292517003</v>
      </c>
      <c r="AK5" s="459">
        <f t="shared" si="1"/>
        <v>0</v>
      </c>
      <c r="AL5" s="459">
        <f t="shared" si="1"/>
        <v>0</v>
      </c>
      <c r="AM5" s="459">
        <f t="shared" si="1"/>
        <v>0</v>
      </c>
      <c r="AN5" s="459">
        <f t="shared" si="1"/>
        <v>0</v>
      </c>
      <c r="AO5" s="459">
        <f t="shared" si="1"/>
        <v>0</v>
      </c>
      <c r="AP5" s="459">
        <f t="shared" si="1"/>
        <v>0</v>
      </c>
      <c r="AQ5" s="459">
        <f t="shared" si="1"/>
        <v>0</v>
      </c>
      <c r="AR5" s="459">
        <f t="shared" si="1"/>
        <v>0</v>
      </c>
      <c r="AS5" s="459">
        <f t="shared" si="1"/>
        <v>0</v>
      </c>
      <c r="AT5" s="459">
        <f t="shared" si="1"/>
        <v>0</v>
      </c>
      <c r="AU5" s="459">
        <f t="shared" si="1"/>
        <v>0</v>
      </c>
      <c r="AV5" s="459">
        <f t="shared" si="1"/>
        <v>0</v>
      </c>
      <c r="AW5" s="459">
        <f t="shared" si="1"/>
        <v>0</v>
      </c>
      <c r="AX5" s="459">
        <f t="shared" si="1"/>
        <v>0</v>
      </c>
      <c r="AY5" s="459">
        <f t="shared" si="1"/>
        <v>0</v>
      </c>
      <c r="AZ5" s="459">
        <f t="shared" si="1"/>
        <v>0</v>
      </c>
      <c r="BA5" s="459">
        <f t="shared" si="1"/>
        <v>0</v>
      </c>
    </row>
    <row r="6" spans="1:53">
      <c r="A6" s="460"/>
      <c r="B6" s="460"/>
      <c r="C6" s="461" t="s">
        <v>104</v>
      </c>
      <c r="D6" s="472">
        <f>SUM(E6:Y6)</f>
        <v>3014370</v>
      </c>
      <c r="E6" s="472">
        <f>SUM('TCO TO BE- SW'!F37:F46)+SUM('TCO TO BE- SW'!F120:F129)</f>
        <v>2516998.9499999997</v>
      </c>
      <c r="F6" s="472">
        <f>SUM('TCO TO BE- SW'!G37:G46)+SUM('TCO TO BE- SW'!G120:G129)</f>
        <v>203469.97500000001</v>
      </c>
      <c r="G6" s="472">
        <f>SUM('TCO TO BE- SW'!H37:H46)+SUM('TCO TO BE- SW'!H120:H129)</f>
        <v>203469.97500000001</v>
      </c>
      <c r="H6" s="472">
        <f>SUM('TCO TO BE- SW'!I37:I46)+SUM('TCO TO BE- SW'!I120:I129)</f>
        <v>90431.099999999977</v>
      </c>
      <c r="I6" s="472">
        <f>SUM('TCO TO BE- SW'!J37:J46)+SUM('TCO TO BE- SW'!J120:J129)</f>
        <v>0</v>
      </c>
      <c r="J6" s="472">
        <f>SUM('TCO TO BE- SW'!K37:K46)+SUM('TCO TO BE- SW'!K120:K129)</f>
        <v>0</v>
      </c>
      <c r="K6" s="472">
        <f>SUM('TCO TO BE- SW'!L37:L46)+SUM('TCO TO BE- SW'!L120:L129)</f>
        <v>0</v>
      </c>
      <c r="L6" s="472">
        <f>SUM('TCO TO BE- SW'!M37:M46)+SUM('TCO TO BE- SW'!M120:M129)</f>
        <v>0</v>
      </c>
      <c r="M6" s="472">
        <f>SUM('TCO TO BE- SW'!N37:N46)+SUM('TCO TO BE- SW'!N120:N129)</f>
        <v>0</v>
      </c>
      <c r="N6" s="472">
        <f>SUM('TCO TO BE- SW'!O37:O46)+SUM('TCO TO BE- SW'!O120:O129)</f>
        <v>0</v>
      </c>
      <c r="O6" s="472">
        <f>SUM('TCO TO BE- SW'!P37:P46)+SUM('TCO TO BE- SW'!P120:P129)</f>
        <v>0</v>
      </c>
      <c r="P6" s="472">
        <f>SUM('TCO TO BE- SW'!Q37:Q46)+SUM('TCO TO BE- SW'!Q120:Q129)</f>
        <v>0</v>
      </c>
      <c r="Q6" s="472">
        <f>SUM('TCO TO BE- SW'!R37:R46)+SUM('TCO TO BE- SW'!R120:R129)</f>
        <v>0</v>
      </c>
      <c r="R6" s="472">
        <f>SUM('TCO TO BE- SW'!S37:S46)+SUM('TCO TO BE- SW'!S120:S129)</f>
        <v>0</v>
      </c>
      <c r="S6" s="472">
        <f>SUM('TCO TO BE- SW'!T37:T46)+SUM('TCO TO BE- SW'!T120:T129)</f>
        <v>0</v>
      </c>
      <c r="T6" s="472">
        <f>SUM('TCO TO BE- SW'!U37:U46)+SUM('TCO TO BE- SW'!U120:U129)</f>
        <v>0</v>
      </c>
      <c r="U6" s="472">
        <f>SUM('TCO TO BE- SW'!V37:V46)+SUM('TCO TO BE- SW'!V120:V129)</f>
        <v>0</v>
      </c>
      <c r="V6" s="472">
        <f>SUM('TCO TO BE- SW'!W37:W46)+SUM('TCO TO BE- SW'!W120:W129)</f>
        <v>0</v>
      </c>
      <c r="W6" s="472">
        <f>SUM('TCO TO BE- SW'!X37:X46)+SUM('TCO TO BE- SW'!X120:X129)</f>
        <v>0</v>
      </c>
      <c r="X6" s="472">
        <f>SUM('TCO TO BE- SW'!Y37:Y46)+SUM('TCO TO BE- SW'!Y120:Y129)</f>
        <v>0</v>
      </c>
      <c r="Y6" s="472">
        <f>SUM('TCO TO BE- SW'!Z37:Z46)+SUM('TCO TO BE- SW'!Z120:Z129)</f>
        <v>0</v>
      </c>
      <c r="AC6" s="460"/>
      <c r="AD6" s="460"/>
      <c r="AE6" s="461" t="s">
        <v>104</v>
      </c>
      <c r="AF6" s="472">
        <f>SUM(AG6:BA6)</f>
        <v>2734122.448979592</v>
      </c>
      <c r="AG6" s="472">
        <f>('TCO TO BE- SW'!F37+NPV(Faktory!$D$5,'TCO TO BE- SW'!F38:F46)+'TCO TO BE- SW'!F120+NPV(Faktory!$D$5,'TCO TO BE- SW'!F121:F129))</f>
        <v>2282992.2448979588</v>
      </c>
      <c r="AH6" s="472">
        <f>('TCO TO BE- SW'!G37+NPV(Faktory!$D$5,'TCO TO BE- SW'!G38:G46)+'TCO TO BE- SW'!G120+NPV(Faktory!$D$5,'TCO TO BE- SW'!G121:G129))</f>
        <v>184553.26530612246</v>
      </c>
      <c r="AI6" s="472">
        <f>('TCO TO BE- SW'!H37+NPV(Faktory!$D$5,'TCO TO BE- SW'!H38:H46)+'TCO TO BE- SW'!H120+NPV(Faktory!$D$5,'TCO TO BE- SW'!H121:H129))</f>
        <v>184553.26530612246</v>
      </c>
      <c r="AJ6" s="472">
        <f>('TCO TO BE- SW'!I37+NPV(Faktory!$D$5,'TCO TO BE- SW'!I38:I46)+'TCO TO BE- SW'!I120+NPV(Faktory!$D$5,'TCO TO BE- SW'!I121:I129))</f>
        <v>82023.673469387722</v>
      </c>
      <c r="AK6" s="472">
        <f>('TCO TO BE- SW'!J37+NPV(Faktory!$D$5,'TCO TO BE- SW'!J38:J46)+'TCO TO BE- SW'!J120+NPV(Faktory!$D$5,'TCO TO BE- SW'!J121:J129))</f>
        <v>0</v>
      </c>
      <c r="AL6" s="472">
        <f>('TCO TO BE- SW'!K37+NPV(Faktory!$D$5,'TCO TO BE- SW'!K38:K46)+'TCO TO BE- SW'!K120+NPV(Faktory!$D$5,'TCO TO BE- SW'!K121:K129))</f>
        <v>0</v>
      </c>
      <c r="AM6" s="472">
        <f>('TCO TO BE- SW'!L37+NPV(Faktory!$D$5,'TCO TO BE- SW'!L38:L46)+'TCO TO BE- SW'!L120+NPV(Faktory!$D$5,'TCO TO BE- SW'!L121:L129))</f>
        <v>0</v>
      </c>
      <c r="AN6" s="472">
        <f>('TCO TO BE- SW'!M37+NPV(Faktory!$D$5,'TCO TO BE- SW'!M38:M46)+'TCO TO BE- SW'!M120+NPV(Faktory!$D$5,'TCO TO BE- SW'!M121:M129))</f>
        <v>0</v>
      </c>
      <c r="AO6" s="472">
        <f>('TCO TO BE- SW'!N37+NPV(Faktory!$D$5,'TCO TO BE- SW'!N38:N46)+'TCO TO BE- SW'!N120+NPV(Faktory!$D$5,'TCO TO BE- SW'!N121:N129))</f>
        <v>0</v>
      </c>
      <c r="AP6" s="472">
        <f>('TCO TO BE- SW'!O37+NPV(Faktory!$D$5,'TCO TO BE- SW'!O38:O46)+'TCO TO BE- SW'!O120+NPV(Faktory!$D$5,'TCO TO BE- SW'!O121:O129))</f>
        <v>0</v>
      </c>
      <c r="AQ6" s="472">
        <f>('TCO TO BE- SW'!P37+NPV(Faktory!$D$5,'TCO TO BE- SW'!P38:P46)+'TCO TO BE- SW'!P120+NPV(Faktory!$D$5,'TCO TO BE- SW'!P121:P129))</f>
        <v>0</v>
      </c>
      <c r="AR6" s="472">
        <f>('TCO TO BE- SW'!Q37+NPV(Faktory!$D$5,'TCO TO BE- SW'!Q38:Q46)+'TCO TO BE- SW'!Q120+NPV(Faktory!$D$5,'TCO TO BE- SW'!Q121:Q129))</f>
        <v>0</v>
      </c>
      <c r="AS6" s="472">
        <f>('TCO TO BE- SW'!R37+NPV(Faktory!$D$5,'TCO TO BE- SW'!R38:R46)+'TCO TO BE- SW'!R120+NPV(Faktory!$D$5,'TCO TO BE- SW'!R121:R129))</f>
        <v>0</v>
      </c>
      <c r="AT6" s="472">
        <f>('TCO TO BE- SW'!S37+NPV(Faktory!$D$5,'TCO TO BE- SW'!S38:S46)+'TCO TO BE- SW'!S120+NPV(Faktory!$D$5,'TCO TO BE- SW'!S121:S129))</f>
        <v>0</v>
      </c>
      <c r="AU6" s="472">
        <f>('TCO TO BE- SW'!T37+NPV(Faktory!$D$5,'TCO TO BE- SW'!T38:T46)+'TCO TO BE- SW'!T120+NPV(Faktory!$D$5,'TCO TO BE- SW'!T121:T129))</f>
        <v>0</v>
      </c>
      <c r="AV6" s="472">
        <f>('TCO TO BE- SW'!U37+NPV(Faktory!$D$5,'TCO TO BE- SW'!U38:U46)+'TCO TO BE- SW'!U120+NPV(Faktory!$D$5,'TCO TO BE- SW'!U121:U129))</f>
        <v>0</v>
      </c>
      <c r="AW6" s="472">
        <f>('TCO TO BE- SW'!V37+NPV(Faktory!$D$5,'TCO TO BE- SW'!V38:V46)+'TCO TO BE- SW'!V120+NPV(Faktory!$D$5,'TCO TO BE- SW'!V121:V129))</f>
        <v>0</v>
      </c>
      <c r="AX6" s="472">
        <f>('TCO TO BE- SW'!W37+NPV(Faktory!$D$5,'TCO TO BE- SW'!W38:W46)+'TCO TO BE- SW'!W120+NPV(Faktory!$D$5,'TCO TO BE- SW'!W121:W129))</f>
        <v>0</v>
      </c>
      <c r="AY6" s="472">
        <f>('TCO TO BE- SW'!X37+NPV(Faktory!$D$5,'TCO TO BE- SW'!X38:X46)+'TCO TO BE- SW'!X120+NPV(Faktory!$D$5,'TCO TO BE- SW'!X121:X129))</f>
        <v>0</v>
      </c>
      <c r="AZ6" s="472">
        <f>('TCO TO BE- SW'!Y37+NPV(Faktory!$D$5,'TCO TO BE- SW'!Y38:Y46)+'TCO TO BE- SW'!Y120+NPV(Faktory!$D$5,'TCO TO BE- SW'!Y121:Y129))</f>
        <v>0</v>
      </c>
      <c r="BA6" s="472">
        <f>('TCO TO BE- SW'!Z37+NPV(Faktory!$D$5,'TCO TO BE- SW'!Z38:Z46)+'TCO TO BE- SW'!Z120+NPV(Faktory!$D$5,'TCO TO BE- SW'!Z121:Z129))</f>
        <v>0</v>
      </c>
    </row>
    <row r="7" spans="1:53">
      <c r="A7" s="460"/>
      <c r="B7" s="460"/>
      <c r="C7" s="461" t="s">
        <v>65</v>
      </c>
      <c r="D7" s="472">
        <f>SUM(E7:Y7)</f>
        <v>4164919.1999999997</v>
      </c>
      <c r="E7" s="472">
        <f>SUM('TCO TO BE- SW'!F6:F15)+SUM('TCO TO BE- SW'!F89:F98)</f>
        <v>3693919.1999999997</v>
      </c>
      <c r="F7" s="472">
        <f>SUM('TCO TO BE- SW'!G6:G15)+SUM('TCO TO BE- SW'!G89:G98)</f>
        <v>450000</v>
      </c>
      <c r="G7" s="472">
        <f>SUM('TCO TO BE- SW'!H6:H15)+SUM('TCO TO BE- SW'!H89:H98)</f>
        <v>0</v>
      </c>
      <c r="H7" s="472">
        <f>SUM('TCO TO BE- SW'!I6:I15)+SUM('TCO TO BE- SW'!I89:I98)</f>
        <v>21000</v>
      </c>
      <c r="I7" s="472">
        <f>SUM('TCO TO BE- SW'!J6:J15)+SUM('TCO TO BE- SW'!J89:J98)</f>
        <v>0</v>
      </c>
      <c r="J7" s="472">
        <f>SUM('TCO TO BE- SW'!K6:K15)+SUM('TCO TO BE- SW'!K89:K98)</f>
        <v>0</v>
      </c>
      <c r="K7" s="472">
        <f>SUM('TCO TO BE- SW'!L6:L15)+SUM('TCO TO BE- SW'!L89:L98)</f>
        <v>0</v>
      </c>
      <c r="L7" s="472">
        <f>SUM('TCO TO BE- SW'!M6:M15)+SUM('TCO TO BE- SW'!M89:M98)</f>
        <v>0</v>
      </c>
      <c r="M7" s="472">
        <f>SUM('TCO TO BE- SW'!N6:N15)+SUM('TCO TO BE- SW'!N89:N98)</f>
        <v>0</v>
      </c>
      <c r="N7" s="472">
        <f>SUM('TCO TO BE- SW'!O6:O15)+SUM('TCO TO BE- SW'!O89:O98)</f>
        <v>0</v>
      </c>
      <c r="O7" s="472">
        <f>SUM('TCO TO BE- SW'!P6:P15)+SUM('TCO TO BE- SW'!P89:P98)</f>
        <v>0</v>
      </c>
      <c r="P7" s="472">
        <f>SUM('TCO TO BE- SW'!Q6:Q15)+SUM('TCO TO BE- SW'!Q89:Q98)</f>
        <v>0</v>
      </c>
      <c r="Q7" s="472">
        <f>SUM('TCO TO BE- SW'!R6:R15)+SUM('TCO TO BE- SW'!R89:R98)</f>
        <v>0</v>
      </c>
      <c r="R7" s="472">
        <f>SUM('TCO TO BE- SW'!S6:S15)+SUM('TCO TO BE- SW'!S89:S98)</f>
        <v>0</v>
      </c>
      <c r="S7" s="472">
        <f>SUM('TCO TO BE- SW'!T6:T15)+SUM('TCO TO BE- SW'!T89:T98)</f>
        <v>0</v>
      </c>
      <c r="T7" s="472">
        <f>SUM('TCO TO BE- SW'!U6:U15)+SUM('TCO TO BE- SW'!U89:U98)</f>
        <v>0</v>
      </c>
      <c r="U7" s="472">
        <f>SUM('TCO TO BE- SW'!V6:V15)+SUM('TCO TO BE- SW'!V89:V98)</f>
        <v>0</v>
      </c>
      <c r="V7" s="472">
        <f>SUM('TCO TO BE- SW'!W6:W15)+SUM('TCO TO BE- SW'!W89:W98)</f>
        <v>0</v>
      </c>
      <c r="W7" s="472">
        <f>SUM('TCO TO BE- SW'!X6:X15)+SUM('TCO TO BE- SW'!X89:X98)</f>
        <v>0</v>
      </c>
      <c r="X7" s="472">
        <f>SUM('TCO TO BE- SW'!Y6:Y15)+SUM('TCO TO BE- SW'!Y89:Y98)</f>
        <v>0</v>
      </c>
      <c r="Y7" s="472">
        <f>SUM('TCO TO BE- SW'!Z6:Z15)+SUM('TCO TO BE- SW'!Z89:Z98)</f>
        <v>0</v>
      </c>
      <c r="AC7" s="460"/>
      <c r="AD7" s="460"/>
      <c r="AE7" s="461" t="s">
        <v>65</v>
      </c>
      <c r="AF7" s="472">
        <f>SUM(AG7:BA7)</f>
        <v>3938672.0417233557</v>
      </c>
      <c r="AG7" s="472">
        <f>('TCO TO BE- SW'!F6+NPV(Faktory!$D$5,'TCO TO BE- SW'!F7:F15)+'TCO TO BE- SW'!F89+NPV(Faktory!$D$5,'TCO TO BE- SW'!F90:F98))</f>
        <v>3490161.837641723</v>
      </c>
      <c r="AH7" s="472">
        <f>('TCO TO BE- SW'!G6+NPV(Faktory!$D$5,'TCO TO BE- SW'!G7:G15)+'TCO TO BE- SW'!G89+NPV(Faktory!$D$5,'TCO TO BE- SW'!G90:G98))</f>
        <v>428911.5646258503</v>
      </c>
      <c r="AI7" s="472">
        <f>('TCO TO BE- SW'!H6+NPV(Faktory!$D$5,'TCO TO BE- SW'!H7:H15)+'TCO TO BE- SW'!H89+NPV(Faktory!$D$5,'TCO TO BE- SW'!H90:H98))</f>
        <v>0</v>
      </c>
      <c r="AJ7" s="472">
        <f>('TCO TO BE- SW'!I6+NPV(Faktory!$D$5,'TCO TO BE- SW'!I7:I15)+'TCO TO BE- SW'!I89+NPV(Faktory!$D$5,'TCO TO BE- SW'!I90:I98))</f>
        <v>19598.639455782311</v>
      </c>
      <c r="AK7" s="472">
        <f>('TCO TO BE- SW'!J6+NPV(Faktory!$D$5,'TCO TO BE- SW'!J7:J15)+'TCO TO BE- SW'!J89+NPV(Faktory!$D$5,'TCO TO BE- SW'!J90:J98))</f>
        <v>0</v>
      </c>
      <c r="AL7" s="472">
        <f>('TCO TO BE- SW'!K6+NPV(Faktory!$D$5,'TCO TO BE- SW'!K7:K15)+'TCO TO BE- SW'!K89+NPV(Faktory!$D$5,'TCO TO BE- SW'!K90:K98))</f>
        <v>0</v>
      </c>
      <c r="AM7" s="472">
        <f>('TCO TO BE- SW'!L6+NPV(Faktory!$D$5,'TCO TO BE- SW'!L7:L15)+'TCO TO BE- SW'!L89+NPV(Faktory!$D$5,'TCO TO BE- SW'!L90:L98))</f>
        <v>0</v>
      </c>
      <c r="AN7" s="472">
        <f>('TCO TO BE- SW'!M6+NPV(Faktory!$D$5,'TCO TO BE- SW'!M7:M15)+'TCO TO BE- SW'!M89+NPV(Faktory!$D$5,'TCO TO BE- SW'!M90:M98))</f>
        <v>0</v>
      </c>
      <c r="AO7" s="472">
        <f>('TCO TO BE- SW'!N6+NPV(Faktory!$D$5,'TCO TO BE- SW'!N7:N15)+'TCO TO BE- SW'!N89+NPV(Faktory!$D$5,'TCO TO BE- SW'!N90:N98))</f>
        <v>0</v>
      </c>
      <c r="AP7" s="472">
        <f>('TCO TO BE- SW'!O6+NPV(Faktory!$D$5,'TCO TO BE- SW'!O7:O15)+'TCO TO BE- SW'!O89+NPV(Faktory!$D$5,'TCO TO BE- SW'!O90:O98))</f>
        <v>0</v>
      </c>
      <c r="AQ7" s="472">
        <f>('TCO TO BE- SW'!P6+NPV(Faktory!$D$5,'TCO TO BE- SW'!P7:P15)+'TCO TO BE- SW'!P89+NPV(Faktory!$D$5,'TCO TO BE- SW'!P90:P98))</f>
        <v>0</v>
      </c>
      <c r="AR7" s="472">
        <f>('TCO TO BE- SW'!Q6+NPV(Faktory!$D$5,'TCO TO BE- SW'!Q7:Q15)+'TCO TO BE- SW'!Q89+NPV(Faktory!$D$5,'TCO TO BE- SW'!Q90:Q98))</f>
        <v>0</v>
      </c>
      <c r="AS7" s="472">
        <f>('TCO TO BE- SW'!R6+NPV(Faktory!$D$5,'TCO TO BE- SW'!R7:R15)+'TCO TO BE- SW'!R89+NPV(Faktory!$D$5,'TCO TO BE- SW'!R90:R98))</f>
        <v>0</v>
      </c>
      <c r="AT7" s="472">
        <f>('TCO TO BE- SW'!S6+NPV(Faktory!$D$5,'TCO TO BE- SW'!S7:S15)+'TCO TO BE- SW'!S89+NPV(Faktory!$D$5,'TCO TO BE- SW'!S90:S98))</f>
        <v>0</v>
      </c>
      <c r="AU7" s="472">
        <f>('TCO TO BE- SW'!T6+NPV(Faktory!$D$5,'TCO TO BE- SW'!T7:T15)+'TCO TO BE- SW'!T89+NPV(Faktory!$D$5,'TCO TO BE- SW'!T90:T98))</f>
        <v>0</v>
      </c>
      <c r="AV7" s="472">
        <f>('TCO TO BE- SW'!U6+NPV(Faktory!$D$5,'TCO TO BE- SW'!U7:U15)+'TCO TO BE- SW'!U89+NPV(Faktory!$D$5,'TCO TO BE- SW'!U90:U98))</f>
        <v>0</v>
      </c>
      <c r="AW7" s="472">
        <f>('TCO TO BE- SW'!V6+NPV(Faktory!$D$5,'TCO TO BE- SW'!V7:V15)+'TCO TO BE- SW'!V89+NPV(Faktory!$D$5,'TCO TO BE- SW'!V90:V98))</f>
        <v>0</v>
      </c>
      <c r="AX7" s="472">
        <f>('TCO TO BE- SW'!W6+NPV(Faktory!$D$5,'TCO TO BE- SW'!W7:W15)+'TCO TO BE- SW'!W89+NPV(Faktory!$D$5,'TCO TO BE- SW'!W90:W98))</f>
        <v>0</v>
      </c>
      <c r="AY7" s="472">
        <f>('TCO TO BE- SW'!X6+NPV(Faktory!$D$5,'TCO TO BE- SW'!X7:X15)+'TCO TO BE- SW'!X89+NPV(Faktory!$D$5,'TCO TO BE- SW'!X90:X98))</f>
        <v>0</v>
      </c>
      <c r="AZ7" s="472">
        <f>('TCO TO BE- SW'!Y6+NPV(Faktory!$D$5,'TCO TO BE- SW'!Y7:Y15)+'TCO TO BE- SW'!Y89+NPV(Faktory!$D$5,'TCO TO BE- SW'!Y90:Y98))</f>
        <v>0</v>
      </c>
      <c r="BA7" s="472">
        <f>('TCO TO BE- SW'!Z6+NPV(Faktory!$D$5,'TCO TO BE- SW'!Z7:Z15)+'TCO TO BE- SW'!Z89+NPV(Faktory!$D$5,'TCO TO BE- SW'!Z90:Z98))</f>
        <v>0</v>
      </c>
    </row>
    <row r="8" spans="1:53">
      <c r="A8" s="460"/>
      <c r="B8" s="460"/>
      <c r="C8" s="461" t="s">
        <v>64</v>
      </c>
      <c r="D8" s="472">
        <f>SUM(E8:X8)</f>
        <v>0</v>
      </c>
      <c r="E8" s="472">
        <f>SUM('TCO TO BE - HW'!F5:F14)+SUM('TCO TO BE - HW'!F66:F75)</f>
        <v>0</v>
      </c>
      <c r="F8" s="472">
        <f>SUM('TCO TO BE - HW'!G5:G14)+SUM('TCO TO BE - HW'!G66:G75)</f>
        <v>0</v>
      </c>
      <c r="G8" s="472">
        <f>SUM('TCO TO BE - HW'!H5:H14)+SUM('TCO TO BE - HW'!H66:H75)</f>
        <v>0</v>
      </c>
      <c r="H8" s="472">
        <f>SUM('TCO TO BE - HW'!I5:I14)+SUM('TCO TO BE - HW'!I66:I75)</f>
        <v>0</v>
      </c>
      <c r="I8" s="472">
        <f>SUM('TCO TO BE - HW'!J5:J14)+SUM('TCO TO BE - HW'!J66:J75)</f>
        <v>0</v>
      </c>
      <c r="J8" s="472">
        <f>SUM('TCO TO BE - HW'!K5:K14)+SUM('TCO TO BE - HW'!K66:K75)</f>
        <v>0</v>
      </c>
      <c r="K8" s="472">
        <f>SUM('TCO TO BE - HW'!L5:L14)+SUM('TCO TO BE - HW'!L66:L75)</f>
        <v>0</v>
      </c>
      <c r="L8" s="472">
        <f>SUM('TCO TO BE - HW'!M5:M14)+SUM('TCO TO BE - HW'!M66:M75)</f>
        <v>0</v>
      </c>
      <c r="M8" s="472">
        <f>SUM('TCO TO BE - HW'!N5:N14)+SUM('TCO TO BE - HW'!N66:N75)</f>
        <v>0</v>
      </c>
      <c r="N8" s="472">
        <f>SUM('TCO TO BE - HW'!O5:O14)+SUM('TCO TO BE - HW'!O66:O75)</f>
        <v>0</v>
      </c>
      <c r="O8" s="472">
        <f>SUM('TCO TO BE - HW'!P5:P14)+SUM('TCO TO BE - HW'!P66:P75)</f>
        <v>0</v>
      </c>
      <c r="P8" s="472">
        <f>SUM('TCO TO BE - HW'!Q5:Q14)+SUM('TCO TO BE - HW'!Q66:Q75)</f>
        <v>0</v>
      </c>
      <c r="Q8" s="472">
        <f>SUM('TCO TO BE - HW'!R5:R14)+SUM('TCO TO BE - HW'!R66:R75)</f>
        <v>0</v>
      </c>
      <c r="R8" s="472">
        <f>SUM('TCO TO BE - HW'!S5:S14)+SUM('TCO TO BE - HW'!S66:S75)</f>
        <v>0</v>
      </c>
      <c r="S8" s="472">
        <f>SUM('TCO TO BE - HW'!T5:T14)+SUM('TCO TO BE - HW'!T66:T75)</f>
        <v>0</v>
      </c>
      <c r="T8" s="472">
        <f>SUM('TCO TO BE - HW'!U5:U14)+SUM('TCO TO BE - HW'!U66:U75)</f>
        <v>0</v>
      </c>
      <c r="U8" s="472">
        <f>SUM('TCO TO BE - HW'!V5:V14)+SUM('TCO TO BE - HW'!V66:V75)</f>
        <v>0</v>
      </c>
      <c r="V8" s="472">
        <f>SUM('TCO TO BE - HW'!W5:W14)+SUM('TCO TO BE - HW'!W66:W75)</f>
        <v>0</v>
      </c>
      <c r="W8" s="472">
        <f>SUM('TCO TO BE - HW'!X5:X14)+SUM('TCO TO BE - HW'!X66:X75)</f>
        <v>0</v>
      </c>
      <c r="X8" s="472">
        <f>SUM('TCO TO BE - HW'!Y5:Y14)+SUM('TCO TO BE - HW'!Y66:Y75)</f>
        <v>0</v>
      </c>
      <c r="Y8" s="472">
        <f>SUM('TCO TO BE - HW'!Z5:Z14)+SUM('TCO TO BE - HW'!Z66:Z75)</f>
        <v>0</v>
      </c>
      <c r="AC8" s="460"/>
      <c r="AD8" s="460"/>
      <c r="AE8" s="461" t="s">
        <v>64</v>
      </c>
      <c r="AF8" s="472">
        <f>SUM(AG8:AZ8)</f>
        <v>0</v>
      </c>
      <c r="AG8" s="472">
        <f>('TCO TO BE - HW'!F5+NPV(Faktory!$D$5,'TCO TO BE - HW'!F6:F14)+'TCO TO BE - HW'!F66+NPV(Faktory!$D$5,'TCO TO BE - HW'!F67:F75))</f>
        <v>0</v>
      </c>
      <c r="AH8" s="472">
        <f>('TCO TO BE - HW'!G5+NPV(Faktory!$D$5,'TCO TO BE - HW'!G6:G14)+'TCO TO BE - HW'!G66+NPV(Faktory!$D$5,'TCO TO BE - HW'!G67:G75))</f>
        <v>0</v>
      </c>
      <c r="AI8" s="472">
        <f>('TCO TO BE - HW'!H5+NPV(Faktory!$D$5,'TCO TO BE - HW'!H6:H14)+'TCO TO BE - HW'!H66+NPV(Faktory!$D$5,'TCO TO BE - HW'!H67:H75))</f>
        <v>0</v>
      </c>
      <c r="AJ8" s="472">
        <f>('TCO TO BE - HW'!I5+NPV(Faktory!$D$5,'TCO TO BE - HW'!I6:I14)+'TCO TO BE - HW'!I66+NPV(Faktory!$D$5,'TCO TO BE - HW'!I67:I75))</f>
        <v>0</v>
      </c>
      <c r="AK8" s="472">
        <f>('TCO TO BE - HW'!J5+NPV(Faktory!$D$5,'TCO TO BE - HW'!J6:J14)+'TCO TO BE - HW'!J66+NPV(Faktory!$D$5,'TCO TO BE - HW'!J67:J75))</f>
        <v>0</v>
      </c>
      <c r="AL8" s="472">
        <f>('TCO TO BE - HW'!K5+NPV(Faktory!$D$5,'TCO TO BE - HW'!K6:K14)+'TCO TO BE - HW'!K66+NPV(Faktory!$D$5,'TCO TO BE - HW'!K67:K75))</f>
        <v>0</v>
      </c>
      <c r="AM8" s="472">
        <f>('TCO TO BE - HW'!L5+NPV(Faktory!$D$5,'TCO TO BE - HW'!L6:L14)+'TCO TO BE - HW'!L66+NPV(Faktory!$D$5,'TCO TO BE - HW'!L67:L75))</f>
        <v>0</v>
      </c>
      <c r="AN8" s="472">
        <f>('TCO TO BE - HW'!M5+NPV(Faktory!$D$5,'TCO TO BE - HW'!M6:M14)+'TCO TO BE - HW'!M66+NPV(Faktory!$D$5,'TCO TO BE - HW'!M67:M75))</f>
        <v>0</v>
      </c>
      <c r="AO8" s="472">
        <f>('TCO TO BE - HW'!N5+NPV(Faktory!$D$5,'TCO TO BE - HW'!N6:N14)+'TCO TO BE - HW'!N66+NPV(Faktory!$D$5,'TCO TO BE - HW'!N67:N75))</f>
        <v>0</v>
      </c>
      <c r="AP8" s="472">
        <f>('TCO TO BE - HW'!O5+NPV(Faktory!$D$5,'TCO TO BE - HW'!O6:O14)+'TCO TO BE - HW'!O66+NPV(Faktory!$D$5,'TCO TO BE - HW'!O67:O75))</f>
        <v>0</v>
      </c>
      <c r="AQ8" s="472">
        <f>('TCO TO BE - HW'!P5+NPV(Faktory!$D$5,'TCO TO BE - HW'!P6:P14)+'TCO TO BE - HW'!P66+NPV(Faktory!$D$5,'TCO TO BE - HW'!P67:P75))</f>
        <v>0</v>
      </c>
      <c r="AR8" s="472">
        <f>('TCO TO BE - HW'!Q5+NPV(Faktory!$D$5,'TCO TO BE - HW'!Q6:Q14)+'TCO TO BE - HW'!Q66+NPV(Faktory!$D$5,'TCO TO BE - HW'!Q67:Q75))</f>
        <v>0</v>
      </c>
      <c r="AS8" s="472">
        <f>('TCO TO BE - HW'!R5+NPV(Faktory!$D$5,'TCO TO BE - HW'!R6:R14)+'TCO TO BE - HW'!R66+NPV(Faktory!$D$5,'TCO TO BE - HW'!R67:R75))</f>
        <v>0</v>
      </c>
      <c r="AT8" s="472">
        <f>('TCO TO BE - HW'!S5+NPV(Faktory!$D$5,'TCO TO BE - HW'!S6:S14)+'TCO TO BE - HW'!S66+NPV(Faktory!$D$5,'TCO TO BE - HW'!S67:S75))</f>
        <v>0</v>
      </c>
      <c r="AU8" s="472">
        <f>('TCO TO BE - HW'!T5+NPV(Faktory!$D$5,'TCO TO BE - HW'!T6:T14)+'TCO TO BE - HW'!T66+NPV(Faktory!$D$5,'TCO TO BE - HW'!T67:T75))</f>
        <v>0</v>
      </c>
      <c r="AV8" s="472">
        <f>('TCO TO BE - HW'!U5+NPV(Faktory!$D$5,'TCO TO BE - HW'!U6:U14)+'TCO TO BE - HW'!U66+NPV(Faktory!$D$5,'TCO TO BE - HW'!U67:U75))</f>
        <v>0</v>
      </c>
      <c r="AW8" s="472">
        <f>('TCO TO BE - HW'!V5+NPV(Faktory!$D$5,'TCO TO BE - HW'!V6:V14)+'TCO TO BE - HW'!V66+NPV(Faktory!$D$5,'TCO TO BE - HW'!V67:V75))</f>
        <v>0</v>
      </c>
      <c r="AX8" s="472">
        <f>('TCO TO BE - HW'!W5+NPV(Faktory!$D$5,'TCO TO BE - HW'!W6:W14)+'TCO TO BE - HW'!W66+NPV(Faktory!$D$5,'TCO TO BE - HW'!W67:W75))</f>
        <v>0</v>
      </c>
      <c r="AY8" s="472">
        <f>('TCO TO BE - HW'!X5+NPV(Faktory!$D$5,'TCO TO BE - HW'!X6:X14)+'TCO TO BE - HW'!X66+NPV(Faktory!$D$5,'TCO TO BE - HW'!X67:X75))</f>
        <v>0</v>
      </c>
      <c r="AZ8" s="472">
        <f>('TCO TO BE - HW'!Y5+NPV(Faktory!$D$5,'TCO TO BE - HW'!Y6:Y14)+'TCO TO BE - HW'!Y66+NPV(Faktory!$D$5,'TCO TO BE - HW'!Y67:Y75))</f>
        <v>0</v>
      </c>
      <c r="BA8" s="472">
        <f>('TCO TO BE - HW'!Z5+NPV(Faktory!$D$5,'TCO TO BE - HW'!Z6:Z14)+'TCO TO BE - HW'!Z66+NPV(Faktory!$D$5,'TCO TO BE - HW'!Z67:Z75))</f>
        <v>0</v>
      </c>
    </row>
    <row r="9" spans="1:53">
      <c r="A9" s="457"/>
      <c r="B9" s="458" t="s">
        <v>165</v>
      </c>
      <c r="C9" s="458"/>
      <c r="D9" s="459">
        <f>SUM(E9:Y9)</f>
        <v>23538994.3035</v>
      </c>
      <c r="E9" s="459">
        <f>SUM(E10:E12)</f>
        <v>17613878.010422502</v>
      </c>
      <c r="F9" s="459">
        <f>SUM(F10:F12)</f>
        <v>1225036.5289862501</v>
      </c>
      <c r="G9" s="459">
        <f>SUM(G10:G12)</f>
        <v>4194072.5289862501</v>
      </c>
      <c r="H9" s="459">
        <f>SUM(H10:H12)</f>
        <v>506007.23510500003</v>
      </c>
      <c r="I9" s="459">
        <f>SUM(I10:I12)</f>
        <v>0</v>
      </c>
      <c r="J9" s="459">
        <f>SUM(J10+J11)</f>
        <v>0</v>
      </c>
      <c r="K9" s="459">
        <f>SUM(K10:K12)</f>
        <v>0</v>
      </c>
      <c r="L9" s="459">
        <f>SUM(L10:L12)</f>
        <v>0</v>
      </c>
      <c r="M9" s="459">
        <f>SUM(M10:M12)</f>
        <v>0</v>
      </c>
      <c r="N9" s="459">
        <f>SUM(N10+N11)</f>
        <v>0</v>
      </c>
      <c r="O9" s="459">
        <f>SUM(O10:O12)</f>
        <v>0</v>
      </c>
      <c r="P9" s="459">
        <f>SUM(P10:P12)</f>
        <v>0</v>
      </c>
      <c r="Q9" s="459">
        <f>SUM(Q10:Q12)</f>
        <v>0</v>
      </c>
      <c r="R9" s="459">
        <f>SUM(R10+R11)</f>
        <v>0</v>
      </c>
      <c r="S9" s="459">
        <f>SUM(S10:S12)</f>
        <v>0</v>
      </c>
      <c r="T9" s="459">
        <f>SUM(T10:T12)</f>
        <v>0</v>
      </c>
      <c r="U9" s="459">
        <f>SUM(U10:U12)</f>
        <v>0</v>
      </c>
      <c r="V9" s="459">
        <f>SUM(V10+V11)</f>
        <v>0</v>
      </c>
      <c r="W9" s="459">
        <f>SUM(W10:W12)</f>
        <v>0</v>
      </c>
      <c r="X9" s="459">
        <f>SUM(X10:X12)</f>
        <v>0</v>
      </c>
      <c r="Y9" s="459">
        <f>SUM(Y10:Y12)</f>
        <v>0</v>
      </c>
      <c r="AC9" s="457"/>
      <c r="AD9" s="458" t="s">
        <v>165</v>
      </c>
      <c r="AE9" s="458"/>
      <c r="AF9" s="459">
        <f>SUM(AG9:BA9)</f>
        <v>19495405.052903246</v>
      </c>
      <c r="AG9" s="459">
        <f t="shared" ref="AG9:BA9" si="2">SUM(AG10:AG12)</f>
        <v>14027359.51688882</v>
      </c>
      <c r="AH9" s="459">
        <f t="shared" si="2"/>
        <v>951695.99419127894</v>
      </c>
      <c r="AI9" s="459">
        <f t="shared" si="2"/>
        <v>4054938.2349081631</v>
      </c>
      <c r="AJ9" s="459">
        <f t="shared" si="2"/>
        <v>461411.30691498483</v>
      </c>
      <c r="AK9" s="459">
        <f t="shared" si="2"/>
        <v>0</v>
      </c>
      <c r="AL9" s="459">
        <f t="shared" si="2"/>
        <v>0</v>
      </c>
      <c r="AM9" s="459">
        <f t="shared" si="2"/>
        <v>0</v>
      </c>
      <c r="AN9" s="459">
        <f t="shared" si="2"/>
        <v>0</v>
      </c>
      <c r="AO9" s="459">
        <f t="shared" si="2"/>
        <v>0</v>
      </c>
      <c r="AP9" s="459">
        <f t="shared" si="2"/>
        <v>0</v>
      </c>
      <c r="AQ9" s="459">
        <f t="shared" si="2"/>
        <v>0</v>
      </c>
      <c r="AR9" s="459">
        <f t="shared" si="2"/>
        <v>0</v>
      </c>
      <c r="AS9" s="459">
        <f t="shared" si="2"/>
        <v>0</v>
      </c>
      <c r="AT9" s="459">
        <f t="shared" si="2"/>
        <v>0</v>
      </c>
      <c r="AU9" s="459">
        <f t="shared" si="2"/>
        <v>0</v>
      </c>
      <c r="AV9" s="459">
        <f t="shared" si="2"/>
        <v>0</v>
      </c>
      <c r="AW9" s="459">
        <f t="shared" si="2"/>
        <v>0</v>
      </c>
      <c r="AX9" s="459">
        <f t="shared" si="2"/>
        <v>0</v>
      </c>
      <c r="AY9" s="459">
        <f t="shared" si="2"/>
        <v>0</v>
      </c>
      <c r="AZ9" s="459">
        <f t="shared" si="2"/>
        <v>0</v>
      </c>
      <c r="BA9" s="459">
        <f t="shared" si="2"/>
        <v>0</v>
      </c>
    </row>
    <row r="10" spans="1:53">
      <c r="A10" s="460"/>
      <c r="B10" s="460"/>
      <c r="C10" s="461" t="s">
        <v>104</v>
      </c>
      <c r="D10" s="476">
        <f>SUM(E10:Y10)</f>
        <v>9799849.5034999996</v>
      </c>
      <c r="E10" s="472">
        <f>SUM('TCO TO BE- SW'!F47:F76)+SUM('TCO TO BE- SW'!F100:F119)+SUM('TCO TO BE- SW'!E130:E149)</f>
        <v>5008733.2104225</v>
      </c>
      <c r="F10" s="472">
        <f>SUM('TCO TO BE- SW'!G47:G76)+SUM('TCO TO BE- SW'!G100:G119)+SUM('TCO TO BE- SW'!F130:F149)</f>
        <v>175036.52898624999</v>
      </c>
      <c r="G10" s="472">
        <f>SUM('TCO TO BE- SW'!H47:H76)+SUM('TCO TO BE- SW'!H100:H119)+SUM('TCO TO BE- SW'!G130:G149)</f>
        <v>4194072.5289862501</v>
      </c>
      <c r="H10" s="472">
        <f>SUM('TCO TO BE- SW'!I47:I76)+SUM('TCO TO BE- SW'!I100:I119)+SUM('TCO TO BE- SW'!H130:H149)</f>
        <v>422007.23510500003</v>
      </c>
      <c r="I10" s="472">
        <f>SUM('TCO TO BE- SW'!J47:J76)+SUM('TCO TO BE- SW'!J100:J119)+SUM('TCO TO BE- SW'!I130:I149)</f>
        <v>0</v>
      </c>
      <c r="J10" s="472">
        <f>SUM('TCO TO BE- SW'!K47:K76)+SUM('TCO TO BE- SW'!K100:K119)+SUM('TCO TO BE- SW'!J130:J149)</f>
        <v>0</v>
      </c>
      <c r="K10" s="472">
        <f>SUM('TCO TO BE- SW'!L47:L76)+SUM('TCO TO BE- SW'!L100:L119)+SUM('TCO TO BE- SW'!K130:K149)</f>
        <v>0</v>
      </c>
      <c r="L10" s="472">
        <f>SUM('TCO TO BE- SW'!M47:M76)+SUM('TCO TO BE- SW'!M100:M119)+SUM('TCO TO BE- SW'!L130:L149)</f>
        <v>0</v>
      </c>
      <c r="M10" s="472">
        <f>SUM('TCO TO BE- SW'!N47:N76)+SUM('TCO TO BE- SW'!N100:N119)+SUM('TCO TO BE- SW'!M130:M149)</f>
        <v>0</v>
      </c>
      <c r="N10" s="472">
        <f>SUM('TCO TO BE- SW'!O47:O76)+SUM('TCO TO BE- SW'!O100:O119)+SUM('TCO TO BE- SW'!N130:N149)</f>
        <v>0</v>
      </c>
      <c r="O10" s="472">
        <f>SUM('TCO TO BE- SW'!P47:P76)+SUM('TCO TO BE- SW'!P100:P119)+SUM('TCO TO BE- SW'!O130:O149)</f>
        <v>0</v>
      </c>
      <c r="P10" s="472">
        <f>SUM('TCO TO BE- SW'!Q47:Q76)+SUM('TCO TO BE- SW'!Q100:Q119)+SUM('TCO TO BE- SW'!P130:P149)</f>
        <v>0</v>
      </c>
      <c r="Q10" s="472">
        <f>SUM('TCO TO BE- SW'!R47:R76)+SUM('TCO TO BE- SW'!R100:R119)+SUM('TCO TO BE- SW'!Q130:Q149)</f>
        <v>0</v>
      </c>
      <c r="R10" s="472">
        <f>SUM('TCO TO BE- SW'!S47:S76)+SUM('TCO TO BE- SW'!S100:S119)+SUM('TCO TO BE- SW'!R130:R149)</f>
        <v>0</v>
      </c>
      <c r="S10" s="472">
        <f>SUM('TCO TO BE- SW'!T47:T76)+SUM('TCO TO BE- SW'!T100:T119)+SUM('TCO TO BE- SW'!S130:S149)</f>
        <v>0</v>
      </c>
      <c r="T10" s="472">
        <f>SUM('TCO TO BE- SW'!U47:U76)+SUM('TCO TO BE- SW'!U100:U119)+SUM('TCO TO BE- SW'!T130:T149)</f>
        <v>0</v>
      </c>
      <c r="U10" s="472">
        <f>SUM('TCO TO BE- SW'!V47:V76)+SUM('TCO TO BE- SW'!V100:V119)+SUM('TCO TO BE- SW'!U130:U149)</f>
        <v>0</v>
      </c>
      <c r="V10" s="472">
        <f>SUM('TCO TO BE- SW'!W47:W76)+SUM('TCO TO BE- SW'!W100:W119)+SUM('TCO TO BE- SW'!V130:V149)</f>
        <v>0</v>
      </c>
      <c r="W10" s="472">
        <f>SUM('TCO TO BE- SW'!X47:X76)+SUM('TCO TO BE- SW'!X100:X119)+SUM('TCO TO BE- SW'!W130:W149)</f>
        <v>0</v>
      </c>
      <c r="X10" s="472">
        <f>SUM('TCO TO BE- SW'!Y47:Y76)+SUM('TCO TO BE- SW'!Y100:Y119)+SUM('TCO TO BE- SW'!X130:X149)</f>
        <v>0</v>
      </c>
      <c r="Y10" s="472">
        <f>SUM('TCO TO BE- SW'!Z47:Z76)+SUM('TCO TO BE- SW'!Z100:Z119)+SUM('TCO TO BE- SW'!Y130:Y149)</f>
        <v>0</v>
      </c>
      <c r="AC10" s="460"/>
      <c r="AD10" s="460"/>
      <c r="AE10" s="461" t="s">
        <v>104</v>
      </c>
      <c r="AF10" s="473">
        <f>SUM(AG10:BA10)</f>
        <v>9066788.4320007376</v>
      </c>
      <c r="AG10" s="472">
        <f>('TCO TO BE- SW'!F47+NPV(Faktory!$D$5,'TCO TO BE- SW'!F48:F56)+'TCO TO BE- SW'!F57+NPV(Faktory!$D$5,'TCO TO BE- SW'!F58:F66)+'TCO TO BE- SW'!F67+NPV(Faktory!$D$5,'TCO TO BE- SW'!F68:F76)+'TCO TO BE- SW'!F100+NPV(Faktory!$D$5,'TCO TO BE- SW'!F101:F109)+'TCO TO BE- SW'!F110+NPV(Faktory!$D$5,'TCO TO BE- SW'!F111:F119)+'TCO TO BE- SW'!F130+NPV(Faktory!$D$5,'TCO TO BE- SW'!F131:F139)+'TCO TO BE- SW'!F140+NPV(Faktory!$D$5,'TCO TO BE- SW'!F141:F149))</f>
        <v>4448985.5176447295</v>
      </c>
      <c r="AH10" s="472">
        <f>('TCO TO BE- SW'!G47+NPV(Faktory!$D$5,'TCO TO BE- SW'!G48:G56)+'TCO TO BE- SW'!G57+NPV(Faktory!$D$5,'TCO TO BE- SW'!G58:G66)+'TCO TO BE- SW'!G67+NPV(Faktory!$D$5,'TCO TO BE- SW'!G68:G76)+'TCO TO BE- SW'!G100+NPV(Faktory!$D$5,'TCO TO BE- SW'!G101:G109)+'TCO TO BE- SW'!G110+NPV(Faktory!$D$5,'TCO TO BE- SW'!G111:G119)+'TCO TO BE- SW'!G130+NPV(Faktory!$D$5,'TCO TO BE- SW'!G131:G139)+'TCO TO BE- SW'!G140+NPV(Faktory!$D$5,'TCO TO BE- SW'!G141:G149))</f>
        <v>164434.30747052154</v>
      </c>
      <c r="AI10" s="472">
        <f>('TCO TO BE- SW'!H47+NPV(Faktory!$D$5,'TCO TO BE- SW'!H48:H56)+'TCO TO BE- SW'!H57+NPV(Faktory!$D$5,'TCO TO BE- SW'!H58:H66)+'TCO TO BE- SW'!H67+NPV(Faktory!$D$5,'TCO TO BE- SW'!H68:H76)+'TCO TO BE- SW'!H100+NPV(Faktory!$D$5,'TCO TO BE- SW'!H101:H109)+'TCO TO BE- SW'!H110+NPV(Faktory!$D$5,'TCO TO BE- SW'!H111:H119)+'TCO TO BE- SW'!H130+NPV(Faktory!$D$5,'TCO TO BE- SW'!H131:H139)+'TCO TO BE- SW'!H140+NPV(Faktory!$D$5,'TCO TO BE- SW'!H141:H149))</f>
        <v>4054938.2349081631</v>
      </c>
      <c r="AJ10" s="472">
        <f>('TCO TO BE- SW'!I47+NPV(Faktory!$D$5,'TCO TO BE- SW'!I48:I56)+'TCO TO BE- SW'!I57+NPV(Faktory!$D$5,'TCO TO BE- SW'!I58:I66)+'TCO TO BE- SW'!I67+NPV(Faktory!$D$5,'TCO TO BE- SW'!I68:I76)+'TCO TO BE- SW'!I100+NPV(Faktory!$D$5,'TCO TO BE- SW'!I101:I109)+'TCO TO BE- SW'!I110+NPV(Faktory!$D$5,'TCO TO BE- SW'!I111:I119)+'TCO TO BE- SW'!I130+NPV(Faktory!$D$5,'TCO TO BE- SW'!I131:I139)+'TCO TO BE- SW'!I140+NPV(Faktory!$D$5,'TCO TO BE- SW'!I141:I149))</f>
        <v>398430.37197732425</v>
      </c>
      <c r="AK10" s="472">
        <f>('TCO TO BE- SW'!J47+NPV(Faktory!$D$5,'TCO TO BE- SW'!J48:J56)+'TCO TO BE- SW'!J57+NPV(Faktory!$D$5,'TCO TO BE- SW'!J58:J66)+'TCO TO BE- SW'!J67+NPV(Faktory!$D$5,'TCO TO BE- SW'!J68:J76)+'TCO TO BE- SW'!J100+NPV(Faktory!$D$5,'TCO TO BE- SW'!J101:J109)+'TCO TO BE- SW'!J110+NPV(Faktory!$D$5,'TCO TO BE- SW'!J111:J119)+'TCO TO BE- SW'!J130+NPV(Faktory!$D$5,'TCO TO BE- SW'!J131:J139)+'TCO TO BE- SW'!J140+NPV(Faktory!$D$5,'TCO TO BE- SW'!J141:J149))</f>
        <v>0</v>
      </c>
      <c r="AL10" s="472">
        <f>('TCO TO BE- SW'!K47+NPV(Faktory!$D$5,'TCO TO BE- SW'!K48:K56)+'TCO TO BE- SW'!K57+NPV(Faktory!$D$5,'TCO TO BE- SW'!K58:K66)+'TCO TO BE- SW'!K67+NPV(Faktory!$D$5,'TCO TO BE- SW'!K68:K76)+'TCO TO BE- SW'!K100+NPV(Faktory!$D$5,'TCO TO BE- SW'!K101:K109)+'TCO TO BE- SW'!K110+NPV(Faktory!$D$5,'TCO TO BE- SW'!K111:K119)+'TCO TO BE- SW'!K130+NPV(Faktory!$D$5,'TCO TO BE- SW'!K131:K139)+'TCO TO BE- SW'!K140+NPV(Faktory!$D$5,'TCO TO BE- SW'!K141:K149))</f>
        <v>0</v>
      </c>
      <c r="AM10" s="472">
        <f>('TCO TO BE- SW'!L47+NPV(Faktory!$D$5,'TCO TO BE- SW'!L48:L56)+'TCO TO BE- SW'!L57+NPV(Faktory!$D$5,'TCO TO BE- SW'!L58:L66)+'TCO TO BE- SW'!L67+NPV(Faktory!$D$5,'TCO TO BE- SW'!L68:L76)+'TCO TO BE- SW'!L100+NPV(Faktory!$D$5,'TCO TO BE- SW'!L101:L109)+'TCO TO BE- SW'!L110+NPV(Faktory!$D$5,'TCO TO BE- SW'!L111:L119)+'TCO TO BE- SW'!L130+NPV(Faktory!$D$5,'TCO TO BE- SW'!L131:L139)+'TCO TO BE- SW'!L140+NPV(Faktory!$D$5,'TCO TO BE- SW'!L141:L149))</f>
        <v>0</v>
      </c>
      <c r="AN10" s="472">
        <f>('TCO TO BE- SW'!M47+NPV(Faktory!$D$5,'TCO TO BE- SW'!M48:M56)+'TCO TO BE- SW'!M57+NPV(Faktory!$D$5,'TCO TO BE- SW'!M58:M66)+'TCO TO BE- SW'!M67+NPV(Faktory!$D$5,'TCO TO BE- SW'!M68:M76)+'TCO TO BE- SW'!M100+NPV(Faktory!$D$5,'TCO TO BE- SW'!M101:M109)+'TCO TO BE- SW'!M110+NPV(Faktory!$D$5,'TCO TO BE- SW'!M111:M119)+'TCO TO BE- SW'!M130+NPV(Faktory!$D$5,'TCO TO BE- SW'!M131:M139)+'TCO TO BE- SW'!M140+NPV(Faktory!$D$5,'TCO TO BE- SW'!M141:M149))</f>
        <v>0</v>
      </c>
      <c r="AO10" s="472">
        <f>('TCO TO BE- SW'!N47+NPV(Faktory!$D$5,'TCO TO BE- SW'!N48:N56)+'TCO TO BE- SW'!N57+NPV(Faktory!$D$5,'TCO TO BE- SW'!N58:N66)+'TCO TO BE- SW'!N67+NPV(Faktory!$D$5,'TCO TO BE- SW'!N68:N76)+'TCO TO BE- SW'!N100+NPV(Faktory!$D$5,'TCO TO BE- SW'!N101:N109)+'TCO TO BE- SW'!N110+NPV(Faktory!$D$5,'TCO TO BE- SW'!N111:N119)+'TCO TO BE- SW'!N130+NPV(Faktory!$D$5,'TCO TO BE- SW'!N131:N139)+'TCO TO BE- SW'!N140+NPV(Faktory!$D$5,'TCO TO BE- SW'!N141:N149))</f>
        <v>0</v>
      </c>
      <c r="AP10" s="472">
        <f>('TCO TO BE- SW'!O47+NPV(Faktory!$D$5,'TCO TO BE- SW'!O48:O56)+'TCO TO BE- SW'!O57+NPV(Faktory!$D$5,'TCO TO BE- SW'!O58:O66)+'TCO TO BE- SW'!O67+NPV(Faktory!$D$5,'TCO TO BE- SW'!O68:O76)+'TCO TO BE- SW'!O100+NPV(Faktory!$D$5,'TCO TO BE- SW'!O101:O109)+'TCO TO BE- SW'!O110+NPV(Faktory!$D$5,'TCO TO BE- SW'!O111:O119)+'TCO TO BE- SW'!O130+NPV(Faktory!$D$5,'TCO TO BE- SW'!O131:O139)+'TCO TO BE- SW'!O140+NPV(Faktory!$D$5,'TCO TO BE- SW'!O141:O149))</f>
        <v>0</v>
      </c>
      <c r="AQ10" s="472">
        <f>('TCO TO BE- SW'!P47+NPV(Faktory!$D$5,'TCO TO BE- SW'!P48:P56)+'TCO TO BE- SW'!P57+NPV(Faktory!$D$5,'TCO TO BE- SW'!P58:P66)+'TCO TO BE- SW'!P67+NPV(Faktory!$D$5,'TCO TO BE- SW'!P68:P76)+'TCO TO BE- SW'!P100+NPV(Faktory!$D$5,'TCO TO BE- SW'!P101:P109)+'TCO TO BE- SW'!P110+NPV(Faktory!$D$5,'TCO TO BE- SW'!P111:P119)+'TCO TO BE- SW'!P130+NPV(Faktory!$D$5,'TCO TO BE- SW'!P131:P139)+'TCO TO BE- SW'!P140+NPV(Faktory!$D$5,'TCO TO BE- SW'!P141:P149))</f>
        <v>0</v>
      </c>
      <c r="AR10" s="472">
        <f>('TCO TO BE- SW'!Q47+NPV(Faktory!$D$5,'TCO TO BE- SW'!Q48:Q56)+'TCO TO BE- SW'!Q57+NPV(Faktory!$D$5,'TCO TO BE- SW'!Q58:Q66)+'TCO TO BE- SW'!Q67+NPV(Faktory!$D$5,'TCO TO BE- SW'!Q68:Q76)+'TCO TO BE- SW'!Q100+NPV(Faktory!$D$5,'TCO TO BE- SW'!Q101:Q109)+'TCO TO BE- SW'!Q110+NPV(Faktory!$D$5,'TCO TO BE- SW'!Q111:Q119)+'TCO TO BE- SW'!Q130+NPV(Faktory!$D$5,'TCO TO BE- SW'!Q131:Q139)+'TCO TO BE- SW'!Q140+NPV(Faktory!$D$5,'TCO TO BE- SW'!Q141:Q149))</f>
        <v>0</v>
      </c>
      <c r="AS10" s="472">
        <f>('TCO TO BE- SW'!R47+NPV(Faktory!$D$5,'TCO TO BE- SW'!R48:R56)+'TCO TO BE- SW'!R57+NPV(Faktory!$D$5,'TCO TO BE- SW'!R58:R66)+'TCO TO BE- SW'!R67+NPV(Faktory!$D$5,'TCO TO BE- SW'!R68:R76)+'TCO TO BE- SW'!R100+NPV(Faktory!$D$5,'TCO TO BE- SW'!R101:R109)+'TCO TO BE- SW'!R110+NPV(Faktory!$D$5,'TCO TO BE- SW'!R111:R119)+'TCO TO BE- SW'!R130+NPV(Faktory!$D$5,'TCO TO BE- SW'!R131:R139)+'TCO TO BE- SW'!R140+NPV(Faktory!$D$5,'TCO TO BE- SW'!R141:R149))</f>
        <v>0</v>
      </c>
      <c r="AT10" s="472">
        <f>('TCO TO BE- SW'!S47+NPV(Faktory!$D$5,'TCO TO BE- SW'!S48:S56)+'TCO TO BE- SW'!S57+NPV(Faktory!$D$5,'TCO TO BE- SW'!S58:S66)+'TCO TO BE- SW'!S67+NPV(Faktory!$D$5,'TCO TO BE- SW'!S68:S76)+'TCO TO BE- SW'!S100+NPV(Faktory!$D$5,'TCO TO BE- SW'!S101:S109)+'TCO TO BE- SW'!S110+NPV(Faktory!$D$5,'TCO TO BE- SW'!S111:S119)+'TCO TO BE- SW'!S130+NPV(Faktory!$D$5,'TCO TO BE- SW'!S131:S139)+'TCO TO BE- SW'!S140+NPV(Faktory!$D$5,'TCO TO BE- SW'!S141:S149))</f>
        <v>0</v>
      </c>
      <c r="AU10" s="472">
        <f>('TCO TO BE- SW'!T47+NPV(Faktory!$D$5,'TCO TO BE- SW'!T48:T56)+'TCO TO BE- SW'!T57+NPV(Faktory!$D$5,'TCO TO BE- SW'!T58:T66)+'TCO TO BE- SW'!T67+NPV(Faktory!$D$5,'TCO TO BE- SW'!T68:T76)+'TCO TO BE- SW'!T100+NPV(Faktory!$D$5,'TCO TO BE- SW'!T101:T109)+'TCO TO BE- SW'!T110+NPV(Faktory!$D$5,'TCO TO BE- SW'!T111:T119)+'TCO TO BE- SW'!T130+NPV(Faktory!$D$5,'TCO TO BE- SW'!T131:T139)+'TCO TO BE- SW'!T140+NPV(Faktory!$D$5,'TCO TO BE- SW'!T141:T149))</f>
        <v>0</v>
      </c>
      <c r="AV10" s="472">
        <f>('TCO TO BE- SW'!U47+NPV(Faktory!$D$5,'TCO TO BE- SW'!U48:U56)+'TCO TO BE- SW'!U57+NPV(Faktory!$D$5,'TCO TO BE- SW'!U58:U66)+'TCO TO BE- SW'!U67+NPV(Faktory!$D$5,'TCO TO BE- SW'!U68:U76)+'TCO TO BE- SW'!U100+NPV(Faktory!$D$5,'TCO TO BE- SW'!U101:U109)+'TCO TO BE- SW'!U110+NPV(Faktory!$D$5,'TCO TO BE- SW'!U111:U119)+'TCO TO BE- SW'!U130+NPV(Faktory!$D$5,'TCO TO BE- SW'!U131:U139)+'TCO TO BE- SW'!U140+NPV(Faktory!$D$5,'TCO TO BE- SW'!U141:U149))</f>
        <v>0</v>
      </c>
      <c r="AW10" s="472">
        <f>('TCO TO BE- SW'!V47+NPV(Faktory!$D$5,'TCO TO BE- SW'!V48:V56)+'TCO TO BE- SW'!V57+NPV(Faktory!$D$5,'TCO TO BE- SW'!V58:V66)+'TCO TO BE- SW'!V67+NPV(Faktory!$D$5,'TCO TO BE- SW'!V68:V76)+'TCO TO BE- SW'!V100+NPV(Faktory!$D$5,'TCO TO BE- SW'!V101:V109)+'TCO TO BE- SW'!V110+NPV(Faktory!$D$5,'TCO TO BE- SW'!V111:V119)+'TCO TO BE- SW'!V130+NPV(Faktory!$D$5,'TCO TO BE- SW'!V131:V139)+'TCO TO BE- SW'!V140+NPV(Faktory!$D$5,'TCO TO BE- SW'!V141:V149))</f>
        <v>0</v>
      </c>
      <c r="AX10" s="472">
        <f>('TCO TO BE- SW'!W47+NPV(Faktory!$D$5,'TCO TO BE- SW'!W48:W56)+'TCO TO BE- SW'!W57+NPV(Faktory!$D$5,'TCO TO BE- SW'!W58:W66)+'TCO TO BE- SW'!W67+NPV(Faktory!$D$5,'TCO TO BE- SW'!W68:W76)+'TCO TO BE- SW'!W100+NPV(Faktory!$D$5,'TCO TO BE- SW'!W101:W109)+'TCO TO BE- SW'!W110+NPV(Faktory!$D$5,'TCO TO BE- SW'!W111:W119)+'TCO TO BE- SW'!W130+NPV(Faktory!$D$5,'TCO TO BE- SW'!W131:W139)+'TCO TO BE- SW'!W140+NPV(Faktory!$D$5,'TCO TO BE- SW'!W141:W149))</f>
        <v>0</v>
      </c>
      <c r="AY10" s="472">
        <f>('TCO TO BE- SW'!X47+NPV(Faktory!$D$5,'TCO TO BE- SW'!X48:X56)+'TCO TO BE- SW'!X57+NPV(Faktory!$D$5,'TCO TO BE- SW'!X58:X66)+'TCO TO BE- SW'!X67+NPV(Faktory!$D$5,'TCO TO BE- SW'!X68:X76)+'TCO TO BE- SW'!X100+NPV(Faktory!$D$5,'TCO TO BE- SW'!X101:X109)+'TCO TO BE- SW'!X110+NPV(Faktory!$D$5,'TCO TO BE- SW'!X111:X119)+'TCO TO BE- SW'!X130+NPV(Faktory!$D$5,'TCO TO BE- SW'!X131:X139)+'TCO TO BE- SW'!X140+NPV(Faktory!$D$5,'TCO TO BE- SW'!X141:X149))</f>
        <v>0</v>
      </c>
      <c r="AZ10" s="472">
        <f>('TCO TO BE- SW'!Y47+NPV(Faktory!$D$5,'TCO TO BE- SW'!Y48:Y56)+'TCO TO BE- SW'!Y57+NPV(Faktory!$D$5,'TCO TO BE- SW'!Y58:Y66)+'TCO TO BE- SW'!Y67+NPV(Faktory!$D$5,'TCO TO BE- SW'!Y68:Y76)+'TCO TO BE- SW'!Y100+NPV(Faktory!$D$5,'TCO TO BE- SW'!Y101:Y109)+'TCO TO BE- SW'!Y110+NPV(Faktory!$D$5,'TCO TO BE- SW'!Y111:Y119)+'TCO TO BE- SW'!Y130+NPV(Faktory!$D$5,'TCO TO BE- SW'!Y131:Y139)+'TCO TO BE- SW'!Y140+NPV(Faktory!$D$5,'TCO TO BE- SW'!Y141:Y149))</f>
        <v>0</v>
      </c>
      <c r="BA10" s="472">
        <f>('TCO TO BE- SW'!Z47+NPV(Faktory!$D$5,'TCO TO BE- SW'!Z48:Z56)+'TCO TO BE- SW'!Z57+NPV(Faktory!$D$5,'TCO TO BE- SW'!Z58:Z66)+'TCO TO BE- SW'!Z67+NPV(Faktory!$D$5,'TCO TO BE- SW'!Z68:Z76)+'TCO TO BE- SW'!Z100+NPV(Faktory!$D$5,'TCO TO BE- SW'!Z101:Z109)+'TCO TO BE- SW'!Z110+NPV(Faktory!$D$5,'TCO TO BE- SW'!Z111:Z119)+'TCO TO BE- SW'!Z130+NPV(Faktory!$D$5,'TCO TO BE- SW'!Z131:Z139)+'TCO TO BE- SW'!Z140+NPV(Faktory!$D$5,'TCO TO BE- SW'!Z141:Z149))</f>
        <v>0</v>
      </c>
    </row>
    <row r="11" spans="1:53">
      <c r="A11" s="460"/>
      <c r="B11" s="460"/>
      <c r="C11" s="461" t="s">
        <v>65</v>
      </c>
      <c r="D11" s="477">
        <f>SUM(E11:Y11)</f>
        <v>11279144.800000001</v>
      </c>
      <c r="E11" s="472">
        <f>SUM('TCO TO BE- SW'!F16:F35)+SUM('TCO TO BE- SW'!F79:F88)</f>
        <v>10145144.800000001</v>
      </c>
      <c r="F11" s="472">
        <f>SUM('TCO TO BE- SW'!G16:G35)+SUM('TCO TO BE- SW'!G79:G88)</f>
        <v>1050000</v>
      </c>
      <c r="G11" s="472">
        <f>SUM('TCO TO BE- SW'!H16:H35)+SUM('TCO TO BE- SW'!H79:H88)</f>
        <v>0</v>
      </c>
      <c r="H11" s="472">
        <f>SUM('TCO TO BE- SW'!I16:I35)+SUM('TCO TO BE- SW'!I79:I88)</f>
        <v>84000</v>
      </c>
      <c r="I11" s="472">
        <f>SUM('TCO TO BE- SW'!J16:J35)+SUM('TCO TO BE- SW'!J79:J88)</f>
        <v>0</v>
      </c>
      <c r="J11" s="472">
        <f>SUM('TCO TO BE- SW'!K16:K35)+SUM('TCO TO BE- SW'!K79:K88)</f>
        <v>0</v>
      </c>
      <c r="K11" s="472">
        <f>SUM('TCO TO BE- SW'!L16:L35)+SUM('TCO TO BE- SW'!L79:L88)</f>
        <v>0</v>
      </c>
      <c r="L11" s="472">
        <f>SUM('TCO TO BE- SW'!M16:M35)+SUM('TCO TO BE- SW'!M79:M88)</f>
        <v>0</v>
      </c>
      <c r="M11" s="472">
        <f>SUM('TCO TO BE- SW'!N16:N35)+SUM('TCO TO BE- SW'!N79:N88)</f>
        <v>0</v>
      </c>
      <c r="N11" s="472">
        <f>SUM('TCO TO BE- SW'!O16:O35)+SUM('TCO TO BE- SW'!O79:O88)</f>
        <v>0</v>
      </c>
      <c r="O11" s="472">
        <f>SUM('TCO TO BE- SW'!P16:P35)+SUM('TCO TO BE- SW'!P79:P88)</f>
        <v>0</v>
      </c>
      <c r="P11" s="472">
        <f>SUM('TCO TO BE- SW'!Q16:Q35)+SUM('TCO TO BE- SW'!Q79:Q88)</f>
        <v>0</v>
      </c>
      <c r="Q11" s="472">
        <f>SUM('TCO TO BE- SW'!R16:R35)+SUM('TCO TO BE- SW'!R79:R88)</f>
        <v>0</v>
      </c>
      <c r="R11" s="472">
        <f>SUM('TCO TO BE- SW'!S16:S35)+SUM('TCO TO BE- SW'!S79:S88)</f>
        <v>0</v>
      </c>
      <c r="S11" s="472">
        <f>SUM('TCO TO BE- SW'!T16:T35)+SUM('TCO TO BE- SW'!T79:T88)</f>
        <v>0</v>
      </c>
      <c r="T11" s="472">
        <f>SUM('TCO TO BE- SW'!U16:U35)+SUM('TCO TO BE- SW'!U79:U88)</f>
        <v>0</v>
      </c>
      <c r="U11" s="472">
        <f>SUM('TCO TO BE- SW'!V16:V35)+SUM('TCO TO BE- SW'!V79:V88)</f>
        <v>0</v>
      </c>
      <c r="V11" s="472">
        <f>SUM('TCO TO BE- SW'!W16:W35)+SUM('TCO TO BE- SW'!W79:W88)</f>
        <v>0</v>
      </c>
      <c r="W11" s="472">
        <f>SUM('TCO TO BE- SW'!X16:X35)+SUM('TCO TO BE- SW'!X79:X88)</f>
        <v>0</v>
      </c>
      <c r="X11" s="472">
        <f>SUM('TCO TO BE- SW'!Y16:Y35)+SUM('TCO TO BE- SW'!Y79:Y88)</f>
        <v>0</v>
      </c>
      <c r="Y11" s="472">
        <f>SUM('TCO TO BE- SW'!Z16:Z35)+SUM('TCO TO BE- SW'!Z79:Z88)</f>
        <v>0</v>
      </c>
      <c r="AC11" s="460"/>
      <c r="AD11" s="460"/>
      <c r="AE11" s="461" t="s">
        <v>65</v>
      </c>
      <c r="AF11" s="472">
        <f>SUM(AG11:BA11)</f>
        <v>8456798.6285863426</v>
      </c>
      <c r="AG11" s="472">
        <f>('TCO TO BE- SW'!F16+NPV(Faktory!$D$5,'TCO TO BE- SW'!F17:F25)+'TCO TO BE- SW'!F26+NPV(Faktory!$D$5,'TCO TO BE- SW'!F27:F35)+'TCO TO BE- SW'!F79+NPV(Faktory!$D$5,'TCO TO BE- SW'!F80:F88))</f>
        <v>7606556.0069279242</v>
      </c>
      <c r="AH11" s="472">
        <f>('TCO TO BE- SW'!G16+NPV(Faktory!$D$5,'TCO TO BE- SW'!G17:G25)+'TCO TO BE- SW'!G26+NPV(Faktory!$D$5,'TCO TO BE- SW'!G27:G35)+'TCO TO BE- SW'!G79+NPV(Faktory!$D$5,'TCO TO BE- SW'!G80:G88))</f>
        <v>787261.6867207574</v>
      </c>
      <c r="AI11" s="472">
        <f>('TCO TO BE- SW'!H16+NPV(Faktory!$D$5,'TCO TO BE- SW'!H17:H25)+'TCO TO BE- SW'!H26+NPV(Faktory!$D$5,'TCO TO BE- SW'!H27:H35)+'TCO TO BE- SW'!H79+NPV(Faktory!$D$5,'TCO TO BE- SW'!H80:H88))</f>
        <v>0</v>
      </c>
      <c r="AJ11" s="472">
        <f>('TCO TO BE- SW'!I16+NPV(Faktory!$D$5,'TCO TO BE- SW'!I17:I25)+'TCO TO BE- SW'!I26+NPV(Faktory!$D$5,'TCO TO BE- SW'!I27:I35)+'TCO TO BE- SW'!I79+NPV(Faktory!$D$5,'TCO TO BE- SW'!I80:I88))</f>
        <v>62980.934937660597</v>
      </c>
      <c r="AK11" s="472">
        <f>('TCO TO BE- SW'!J16+NPV(Faktory!$D$5,'TCO TO BE- SW'!J17:J25)+'TCO TO BE- SW'!J26+NPV(Faktory!$D$5,'TCO TO BE- SW'!J27:J35)+'TCO TO BE- SW'!J79+NPV(Faktory!$D$5,'TCO TO BE- SW'!J80:J88))</f>
        <v>0</v>
      </c>
      <c r="AL11" s="472">
        <f>('TCO TO BE- SW'!K16+NPV(Faktory!$D$5,'TCO TO BE- SW'!K17:K25)+'TCO TO BE- SW'!K26+NPV(Faktory!$D$5,'TCO TO BE- SW'!K27:K35)+'TCO TO BE- SW'!K79+NPV(Faktory!$D$5,'TCO TO BE- SW'!K80:K88))</f>
        <v>0</v>
      </c>
      <c r="AM11" s="472">
        <f>('TCO TO BE- SW'!L16+NPV(Faktory!$D$5,'TCO TO BE- SW'!L17:L25)+'TCO TO BE- SW'!L26+NPV(Faktory!$D$5,'TCO TO BE- SW'!L27:L35)+'TCO TO BE- SW'!L79+NPV(Faktory!$D$5,'TCO TO BE- SW'!L80:L88))</f>
        <v>0</v>
      </c>
      <c r="AN11" s="472">
        <f>('TCO TO BE- SW'!M16+NPV(Faktory!$D$5,'TCO TO BE- SW'!M17:M25)+'TCO TO BE- SW'!M26+NPV(Faktory!$D$5,'TCO TO BE- SW'!M27:M35)+'TCO TO BE- SW'!M79+NPV(Faktory!$D$5,'TCO TO BE- SW'!M80:M88))</f>
        <v>0</v>
      </c>
      <c r="AO11" s="472">
        <f>('TCO TO BE- SW'!N16+NPV(Faktory!$D$5,'TCO TO BE- SW'!N17:N25)+'TCO TO BE- SW'!N26+NPV(Faktory!$D$5,'TCO TO BE- SW'!N27:N35)+'TCO TO BE- SW'!N79+NPV(Faktory!$D$5,'TCO TO BE- SW'!N80:N88))</f>
        <v>0</v>
      </c>
      <c r="AP11" s="472">
        <f>('TCO TO BE- SW'!O16+NPV(Faktory!$D$5,'TCO TO BE- SW'!O17:O25)+'TCO TO BE- SW'!O26+NPV(Faktory!$D$5,'TCO TO BE- SW'!O27:O35)+'TCO TO BE- SW'!O79+NPV(Faktory!$D$5,'TCO TO BE- SW'!O80:O88))</f>
        <v>0</v>
      </c>
      <c r="AQ11" s="472">
        <f>('TCO TO BE- SW'!P16+NPV(Faktory!$D$5,'TCO TO BE- SW'!P17:P25)+'TCO TO BE- SW'!P26+NPV(Faktory!$D$5,'TCO TO BE- SW'!P27:P35)+'TCO TO BE- SW'!P79+NPV(Faktory!$D$5,'TCO TO BE- SW'!P80:P88))</f>
        <v>0</v>
      </c>
      <c r="AR11" s="472">
        <f>('TCO TO BE- SW'!Q16+NPV(Faktory!$D$5,'TCO TO BE- SW'!Q17:Q25)+'TCO TO BE- SW'!Q26+NPV(Faktory!$D$5,'TCO TO BE- SW'!Q27:Q35)+'TCO TO BE- SW'!Q79+NPV(Faktory!$D$5,'TCO TO BE- SW'!Q80:Q88))</f>
        <v>0</v>
      </c>
      <c r="AS11" s="472">
        <f>('TCO TO BE- SW'!R16+NPV(Faktory!$D$5,'TCO TO BE- SW'!R17:R25)+'TCO TO BE- SW'!R26+NPV(Faktory!$D$5,'TCO TO BE- SW'!R27:R35)+'TCO TO BE- SW'!R79+NPV(Faktory!$D$5,'TCO TO BE- SW'!R80:R88))</f>
        <v>0</v>
      </c>
      <c r="AT11" s="472">
        <f>('TCO TO BE- SW'!S16+NPV(Faktory!$D$5,'TCO TO BE- SW'!S17:S25)+'TCO TO BE- SW'!S26+NPV(Faktory!$D$5,'TCO TO BE- SW'!S27:S35)+'TCO TO BE- SW'!S79+NPV(Faktory!$D$5,'TCO TO BE- SW'!S80:S88))</f>
        <v>0</v>
      </c>
      <c r="AU11" s="472">
        <f>('TCO TO BE- SW'!T16+NPV(Faktory!$D$5,'TCO TO BE- SW'!T17:T25)+'TCO TO BE- SW'!T26+NPV(Faktory!$D$5,'TCO TO BE- SW'!T27:T35)+'TCO TO BE- SW'!T79+NPV(Faktory!$D$5,'TCO TO BE- SW'!T80:T88))</f>
        <v>0</v>
      </c>
      <c r="AV11" s="472">
        <f>('TCO TO BE- SW'!U16+NPV(Faktory!$D$5,'TCO TO BE- SW'!U17:U25)+'TCO TO BE- SW'!U26+NPV(Faktory!$D$5,'TCO TO BE- SW'!U27:U35)+'TCO TO BE- SW'!U79+NPV(Faktory!$D$5,'TCO TO BE- SW'!U80:U88))</f>
        <v>0</v>
      </c>
      <c r="AW11" s="472">
        <f>('TCO TO BE- SW'!V16+NPV(Faktory!$D$5,'TCO TO BE- SW'!V17:V25)+'TCO TO BE- SW'!V26+NPV(Faktory!$D$5,'TCO TO BE- SW'!V27:V35)+'TCO TO BE- SW'!V79+NPV(Faktory!$D$5,'TCO TO BE- SW'!V80:V88))</f>
        <v>0</v>
      </c>
      <c r="AX11" s="472">
        <f>('TCO TO BE- SW'!W16+NPV(Faktory!$D$5,'TCO TO BE- SW'!W17:W25)+'TCO TO BE- SW'!W26+NPV(Faktory!$D$5,'TCO TO BE- SW'!W27:W35)+'TCO TO BE- SW'!W79+NPV(Faktory!$D$5,'TCO TO BE- SW'!W80:W88))</f>
        <v>0</v>
      </c>
      <c r="AY11" s="472">
        <f>('TCO TO BE- SW'!X16+NPV(Faktory!$D$5,'TCO TO BE- SW'!X17:X25)+'TCO TO BE- SW'!X26+NPV(Faktory!$D$5,'TCO TO BE- SW'!X27:X35)+'TCO TO BE- SW'!X79+NPV(Faktory!$D$5,'TCO TO BE- SW'!X80:X88))</f>
        <v>0</v>
      </c>
      <c r="AZ11" s="472">
        <f>('TCO TO BE- SW'!Y16+NPV(Faktory!$D$5,'TCO TO BE- SW'!Y17:Y25)+'TCO TO BE- SW'!Y26+NPV(Faktory!$D$5,'TCO TO BE- SW'!Y27:Y35)+'TCO TO BE- SW'!Y79+NPV(Faktory!$D$5,'TCO TO BE- SW'!Y80:Y88))</f>
        <v>0</v>
      </c>
      <c r="BA11" s="472">
        <f>('TCO TO BE- SW'!Z16+NPV(Faktory!$D$5,'TCO TO BE- SW'!Z17:Z25)+'TCO TO BE- SW'!Z26+NPV(Faktory!$D$5,'TCO TO BE- SW'!Z27:Z35)+'TCO TO BE- SW'!Z79+NPV(Faktory!$D$5,'TCO TO BE- SW'!Z80:Z88))</f>
        <v>0</v>
      </c>
    </row>
    <row r="12" spans="1:53">
      <c r="A12" s="460"/>
      <c r="B12" s="460"/>
      <c r="C12" s="461" t="s">
        <v>64</v>
      </c>
      <c r="D12" s="477">
        <f>SUM(E12:X12)</f>
        <v>2460000</v>
      </c>
      <c r="E12" s="472">
        <f>SUM('TCO TO BE - HW'!F15:F54)+SUM('TCO TO BE - HW'!F56:F65)+SUM('TCO TO BE - HW'!F76:F105)</f>
        <v>2460000</v>
      </c>
      <c r="F12" s="472">
        <f>SUM('TCO TO BE - HW'!G15:G54)+SUM('TCO TO BE - HW'!G56:G65)+SUM('TCO TO BE - HW'!G76:G105)</f>
        <v>0</v>
      </c>
      <c r="G12" s="472">
        <f>SUM('TCO TO BE - HW'!H15:H54)+SUM('TCO TO BE - HW'!H56:H65)+SUM('TCO TO BE - HW'!H76:H105)</f>
        <v>0</v>
      </c>
      <c r="H12" s="472">
        <f>SUM('TCO TO BE - HW'!I15:I54)+SUM('TCO TO BE - HW'!I56:I65)+SUM('TCO TO BE - HW'!I76:I105)</f>
        <v>0</v>
      </c>
      <c r="I12" s="472">
        <f>SUM('TCO TO BE - HW'!J15:J54)+SUM('TCO TO BE - HW'!J56:J65)+SUM('TCO TO BE - HW'!J76:J105)</f>
        <v>0</v>
      </c>
      <c r="J12" s="472">
        <f>SUM('TCO TO BE - HW'!K15:K54)+SUM('TCO TO BE - HW'!K56:K65)+SUM('TCO TO BE - HW'!K76:K105)</f>
        <v>0</v>
      </c>
      <c r="K12" s="472">
        <f>SUM('TCO TO BE - HW'!L15:L54)+SUM('TCO TO BE - HW'!L56:L65)+SUM('TCO TO BE - HW'!L76:L105)</f>
        <v>0</v>
      </c>
      <c r="L12" s="472">
        <f>SUM('TCO TO BE - HW'!M15:M54)+SUM('TCO TO BE - HW'!M56:M65)+SUM('TCO TO BE - HW'!M76:M105)</f>
        <v>0</v>
      </c>
      <c r="M12" s="472">
        <f>SUM('TCO TO BE - HW'!N15:N54)+SUM('TCO TO BE - HW'!N56:N65)+SUM('TCO TO BE - HW'!N76:N105)</f>
        <v>0</v>
      </c>
      <c r="N12" s="472">
        <f>SUM('TCO TO BE - HW'!O15:O54)+SUM('TCO TO BE - HW'!O56:O65)+SUM('TCO TO BE - HW'!O76:O105)</f>
        <v>0</v>
      </c>
      <c r="O12" s="472">
        <f>SUM('TCO TO BE - HW'!P15:P54)+SUM('TCO TO BE - HW'!P56:P65)+SUM('TCO TO BE - HW'!P76:P105)</f>
        <v>0</v>
      </c>
      <c r="P12" s="472">
        <f>SUM('TCO TO BE - HW'!Q15:Q54)+SUM('TCO TO BE - HW'!Q56:Q65)+SUM('TCO TO BE - HW'!Q76:Q105)</f>
        <v>0</v>
      </c>
      <c r="Q12" s="472">
        <f>SUM('TCO TO BE - HW'!R15:R54)+SUM('TCO TO BE - HW'!R56:R65)+SUM('TCO TO BE - HW'!R76:R105)</f>
        <v>0</v>
      </c>
      <c r="R12" s="472">
        <f>SUM('TCO TO BE - HW'!S15:S54)+SUM('TCO TO BE - HW'!S56:S65)+SUM('TCO TO BE - HW'!S76:S105)</f>
        <v>0</v>
      </c>
      <c r="S12" s="472">
        <f>SUM('TCO TO BE - HW'!T15:T54)+SUM('TCO TO BE - HW'!T56:T65)+SUM('TCO TO BE - HW'!T76:T105)</f>
        <v>0</v>
      </c>
      <c r="T12" s="472">
        <f>SUM('TCO TO BE - HW'!U15:U54)+SUM('TCO TO BE - HW'!U56:U65)+SUM('TCO TO BE - HW'!U76:U105)</f>
        <v>0</v>
      </c>
      <c r="U12" s="472">
        <f>SUM('TCO TO BE - HW'!V15:V54)+SUM('TCO TO BE - HW'!V56:V65)+SUM('TCO TO BE - HW'!V76:V105)</f>
        <v>0</v>
      </c>
      <c r="V12" s="472">
        <f>SUM('TCO TO BE - HW'!W15:W54)+SUM('TCO TO BE - HW'!W56:W65)+SUM('TCO TO BE - HW'!W76:W105)</f>
        <v>0</v>
      </c>
      <c r="W12" s="472">
        <f>SUM('TCO TO BE - HW'!X15:X54)+SUM('TCO TO BE - HW'!X56:X65)+SUM('TCO TO BE - HW'!X76:X105)</f>
        <v>0</v>
      </c>
      <c r="X12" s="472">
        <f>SUM('TCO TO BE - HW'!Y15:Y54)+SUM('TCO TO BE - HW'!Y56:Y65)+SUM('TCO TO BE - HW'!Y76:Y105)</f>
        <v>0</v>
      </c>
      <c r="Y12" s="472">
        <f>SUM('TCO TO BE - HW'!Z15:Z54)+SUM('TCO TO BE - HW'!Z56:Z65)+SUM('TCO TO BE - HW'!Z76:Z105)</f>
        <v>0</v>
      </c>
      <c r="AC12" s="460"/>
      <c r="AD12" s="460"/>
      <c r="AE12" s="461" t="s">
        <v>64</v>
      </c>
      <c r="AF12" s="472">
        <f>SUM(AG12:AZ12)</f>
        <v>1971817.9923161652</v>
      </c>
      <c r="AG12" s="472">
        <f>('TCO TO BE - HW'!F15+NPV(Faktory!$D$5,'TCO TO BE - HW'!F16:F24)+'TCO TO BE - HW'!F56+NPV(Faktory!$D$5,'TCO TO BE - HW'!F57:F65)+'TCO TO BE - HW'!F76+NPV(Faktory!$D$5,'TCO TO BE - HW'!F77:F85)+'TCO TO BE - HW'!F86+NPV(Faktory!$D$5,'TCO TO BE - HW'!F87:F95)+'TCO TO BE - HW'!F96+NPV(Faktory!$D$5,'TCO TO BE - HW'!F97:F105)+('TCO TO BE - HW'!F25+NPV(Faktory!$D$5,'TCO TO BE - HW'!F26:F34)+('TCO TO BE - HW'!F35+NPV(Faktory!$D$5,'TCO TO BE - HW'!F26:F44)+('TCO TO BE - HW'!F45+NPV(Faktory!$D$5,'TCO TO BE - HW'!F46:F54)))))</f>
        <v>1971817.9923161652</v>
      </c>
      <c r="AH12" s="472">
        <f>('TCO TO BE - HW'!G15+NPV(Faktory!$D$5,'TCO TO BE - HW'!G16:G24)+'TCO TO BE - HW'!G56+NPV(Faktory!$D$5,'TCO TO BE - HW'!G57:G65)+'TCO TO BE - HW'!G76+NPV(Faktory!$D$5,'TCO TO BE - HW'!G77:G85)+'TCO TO BE - HW'!G86+NPV(Faktory!$D$5,'TCO TO BE - HW'!G87:G95)+'TCO TO BE - HW'!G96+NPV(Faktory!$D$5,'TCO TO BE - HW'!G97:G105)+('TCO TO BE - HW'!G25+NPV(Faktory!$D$5,'TCO TO BE - HW'!G26:G34)+('TCO TO BE - HW'!G35+NPV(Faktory!$D$5,'TCO TO BE - HW'!G26:G44)+('TCO TO BE - HW'!G45+NPV(Faktory!$D$5,'TCO TO BE - HW'!G46:G54)))))</f>
        <v>0</v>
      </c>
      <c r="AI12" s="472">
        <f>('TCO TO BE - HW'!H15+NPV(Faktory!$D$5,'TCO TO BE - HW'!H16:H24)+'TCO TO BE - HW'!H56+NPV(Faktory!$D$5,'TCO TO BE - HW'!H57:H65)+'TCO TO BE - HW'!H76+NPV(Faktory!$D$5,'TCO TO BE - HW'!H77:H85)+'TCO TO BE - HW'!H86+NPV(Faktory!$D$5,'TCO TO BE - HW'!H87:H95)+'TCO TO BE - HW'!H96+NPV(Faktory!$D$5,'TCO TO BE - HW'!H97:H105)+('TCO TO BE - HW'!H25+NPV(Faktory!$D$5,'TCO TO BE - HW'!H26:H34)+('TCO TO BE - HW'!H35+NPV(Faktory!$D$5,'TCO TO BE - HW'!H26:H44)+('TCO TO BE - HW'!H45+NPV(Faktory!$D$5,'TCO TO BE - HW'!H46:H54)))))</f>
        <v>0</v>
      </c>
      <c r="AJ12" s="472">
        <f>('TCO TO BE - HW'!I15+NPV(Faktory!$D$5,'TCO TO BE - HW'!I16:I24)+'TCO TO BE - HW'!I56+NPV(Faktory!$D$5,'TCO TO BE - HW'!I57:I65)+'TCO TO BE - HW'!I76+NPV(Faktory!$D$5,'TCO TO BE - HW'!I77:I85)+'TCO TO BE - HW'!I86+NPV(Faktory!$D$5,'TCO TO BE - HW'!I87:I95)+'TCO TO BE - HW'!I96+NPV(Faktory!$D$5,'TCO TO BE - HW'!I97:I105)+('TCO TO BE - HW'!I25+NPV(Faktory!$D$5,'TCO TO BE - HW'!I26:I34)+('TCO TO BE - HW'!I35+NPV(Faktory!$D$5,'TCO TO BE - HW'!I26:I44)+('TCO TO BE - HW'!I45+NPV(Faktory!$D$5,'TCO TO BE - HW'!I46:I54)))))</f>
        <v>0</v>
      </c>
      <c r="AK12" s="472">
        <f>('TCO TO BE - HW'!J15+NPV(Faktory!$D$5,'TCO TO BE - HW'!J16:J24)+'TCO TO BE - HW'!J56+NPV(Faktory!$D$5,'TCO TO BE - HW'!J57:J65)+'TCO TO BE - HW'!J76+NPV(Faktory!$D$5,'TCO TO BE - HW'!J77:J85)+'TCO TO BE - HW'!J86+NPV(Faktory!$D$5,'TCO TO BE - HW'!J87:J95)+'TCO TO BE - HW'!J96+NPV(Faktory!$D$5,'TCO TO BE - HW'!J97:J105)+('TCO TO BE - HW'!J25+NPV(Faktory!$D$5,'TCO TO BE - HW'!J26:J34)+('TCO TO BE - HW'!J35+NPV(Faktory!$D$5,'TCO TO BE - HW'!J26:J44)+('TCO TO BE - HW'!J45+NPV(Faktory!$D$5,'TCO TO BE - HW'!J46:J54)))))</f>
        <v>0</v>
      </c>
      <c r="AL12" s="472">
        <f>('TCO TO BE - HW'!K15+NPV(Faktory!$D$5,'TCO TO BE - HW'!K16:K24)+'TCO TO BE - HW'!K56+NPV(Faktory!$D$5,'TCO TO BE - HW'!K57:K65)+'TCO TO BE - HW'!K76+NPV(Faktory!$D$5,'TCO TO BE - HW'!K77:K85)+'TCO TO BE - HW'!K86+NPV(Faktory!$D$5,'TCO TO BE - HW'!K87:K95)+'TCO TO BE - HW'!K96+NPV(Faktory!$D$5,'TCO TO BE - HW'!K97:K105)+('TCO TO BE - HW'!K25+NPV(Faktory!$D$5,'TCO TO BE - HW'!K26:K34)+('TCO TO BE - HW'!K35+NPV(Faktory!$D$5,'TCO TO BE - HW'!K26:K44)+('TCO TO BE - HW'!K45+NPV(Faktory!$D$5,'TCO TO BE - HW'!K46:K54)))))</f>
        <v>0</v>
      </c>
      <c r="AM12" s="472">
        <f>('TCO TO BE - HW'!L15+NPV(Faktory!$D$5,'TCO TO BE - HW'!L16:L24)+'TCO TO BE - HW'!L56+NPV(Faktory!$D$5,'TCO TO BE - HW'!L57:L65)+'TCO TO BE - HW'!L76+NPV(Faktory!$D$5,'TCO TO BE - HW'!L77:L85)+'TCO TO BE - HW'!L86+NPV(Faktory!$D$5,'TCO TO BE - HW'!L87:L95)+'TCO TO BE - HW'!L96+NPV(Faktory!$D$5,'TCO TO BE - HW'!L97:L105)+('TCO TO BE - HW'!L25+NPV(Faktory!$D$5,'TCO TO BE - HW'!L26:L34)+('TCO TO BE - HW'!L35+NPV(Faktory!$D$5,'TCO TO BE - HW'!L26:L44)+('TCO TO BE - HW'!L45+NPV(Faktory!$D$5,'TCO TO BE - HW'!L46:L54)))))</f>
        <v>0</v>
      </c>
      <c r="AN12" s="472">
        <f>('TCO TO BE - HW'!M15+NPV(Faktory!$D$5,'TCO TO BE - HW'!M16:M24)+'TCO TO BE - HW'!M56+NPV(Faktory!$D$5,'TCO TO BE - HW'!M57:M65)+'TCO TO BE - HW'!M76+NPV(Faktory!$D$5,'TCO TO BE - HW'!M77:M85)+'TCO TO BE - HW'!M86+NPV(Faktory!$D$5,'TCO TO BE - HW'!M87:M95)+'TCO TO BE - HW'!M96+NPV(Faktory!$D$5,'TCO TO BE - HW'!M97:M105)+('TCO TO BE - HW'!M25+NPV(Faktory!$D$5,'TCO TO BE - HW'!M26:M34)+('TCO TO BE - HW'!M35+NPV(Faktory!$D$5,'TCO TO BE - HW'!M26:M44)+('TCO TO BE - HW'!M45+NPV(Faktory!$D$5,'TCO TO BE - HW'!M46:M54)))))</f>
        <v>0</v>
      </c>
      <c r="AO12" s="472">
        <f>('TCO TO BE - HW'!N15+NPV(Faktory!$D$5,'TCO TO BE - HW'!N16:N24)+'TCO TO BE - HW'!N56+NPV(Faktory!$D$5,'TCO TO BE - HW'!N57:N65)+'TCO TO BE - HW'!N76+NPV(Faktory!$D$5,'TCO TO BE - HW'!N77:N85)+'TCO TO BE - HW'!N86+NPV(Faktory!$D$5,'TCO TO BE - HW'!N87:N95)+'TCO TO BE - HW'!N96+NPV(Faktory!$D$5,'TCO TO BE - HW'!N97:N105)+('TCO TO BE - HW'!N25+NPV(Faktory!$D$5,'TCO TO BE - HW'!N26:N34)+('TCO TO BE - HW'!N35+NPV(Faktory!$D$5,'TCO TO BE - HW'!N26:N44)+('TCO TO BE - HW'!N45+NPV(Faktory!$D$5,'TCO TO BE - HW'!N46:N54)))))</f>
        <v>0</v>
      </c>
      <c r="AP12" s="472">
        <f>('TCO TO BE - HW'!O15+NPV(Faktory!$D$5,'TCO TO BE - HW'!O16:O24)+'TCO TO BE - HW'!O56+NPV(Faktory!$D$5,'TCO TO BE - HW'!O57:O65)+'TCO TO BE - HW'!O76+NPV(Faktory!$D$5,'TCO TO BE - HW'!O77:O85)+'TCO TO BE - HW'!O86+NPV(Faktory!$D$5,'TCO TO BE - HW'!O87:O95)+'TCO TO BE - HW'!O96+NPV(Faktory!$D$5,'TCO TO BE - HW'!O97:O105)+('TCO TO BE - HW'!O25+NPV(Faktory!$D$5,'TCO TO BE - HW'!O26:O34)+('TCO TO BE - HW'!O35+NPV(Faktory!$D$5,'TCO TO BE - HW'!O26:O44)+('TCO TO BE - HW'!O45+NPV(Faktory!$D$5,'TCO TO BE - HW'!O46:O54)))))</f>
        <v>0</v>
      </c>
      <c r="AQ12" s="472">
        <f>('TCO TO BE - HW'!P15+NPV(Faktory!$D$5,'TCO TO BE - HW'!P16:P24)+'TCO TO BE - HW'!P56+NPV(Faktory!$D$5,'TCO TO BE - HW'!P57:P65)+'TCO TO BE - HW'!P76+NPV(Faktory!$D$5,'TCO TO BE - HW'!P77:P85)+'TCO TO BE - HW'!P86+NPV(Faktory!$D$5,'TCO TO BE - HW'!P87:P95)+'TCO TO BE - HW'!P96+NPV(Faktory!$D$5,'TCO TO BE - HW'!P97:P105)+('TCO TO BE - HW'!P25+NPV(Faktory!$D$5,'TCO TO BE - HW'!P26:P34)+('TCO TO BE - HW'!P35+NPV(Faktory!$D$5,'TCO TO BE - HW'!P26:P44)+('TCO TO BE - HW'!P45+NPV(Faktory!$D$5,'TCO TO BE - HW'!P46:P54)))))</f>
        <v>0</v>
      </c>
      <c r="AR12" s="472">
        <f>('TCO TO BE - HW'!Q15+NPV(Faktory!$D$5,'TCO TO BE - HW'!Q16:Q24)+'TCO TO BE - HW'!Q56+NPV(Faktory!$D$5,'TCO TO BE - HW'!Q57:Q65)+'TCO TO BE - HW'!Q76+NPV(Faktory!$D$5,'TCO TO BE - HW'!Q77:Q85)+'TCO TO BE - HW'!Q86+NPV(Faktory!$D$5,'TCO TO BE - HW'!Q87:Q95)+'TCO TO BE - HW'!Q96+NPV(Faktory!$D$5,'TCO TO BE - HW'!Q97:Q105)+('TCO TO BE - HW'!Q25+NPV(Faktory!$D$5,'TCO TO BE - HW'!Q26:Q34)+('TCO TO BE - HW'!Q35+NPV(Faktory!$D$5,'TCO TO BE - HW'!Q26:Q44)+('TCO TO BE - HW'!Q45+NPV(Faktory!$D$5,'TCO TO BE - HW'!Q46:Q54)))))</f>
        <v>0</v>
      </c>
      <c r="AS12" s="472">
        <f>('TCO TO BE - HW'!R15+NPV(Faktory!$D$5,'TCO TO BE - HW'!R16:R24)+'TCO TO BE - HW'!R56+NPV(Faktory!$D$5,'TCO TO BE - HW'!R57:R65)+'TCO TO BE - HW'!R76+NPV(Faktory!$D$5,'TCO TO BE - HW'!R77:R85)+'TCO TO BE - HW'!R86+NPV(Faktory!$D$5,'TCO TO BE - HW'!R87:R95)+'TCO TO BE - HW'!R96+NPV(Faktory!$D$5,'TCO TO BE - HW'!R97:R105)+('TCO TO BE - HW'!R25+NPV(Faktory!$D$5,'TCO TO BE - HW'!R26:R34)+('TCO TO BE - HW'!R35+NPV(Faktory!$D$5,'TCO TO BE - HW'!R26:R44)+('TCO TO BE - HW'!R45+NPV(Faktory!$D$5,'TCO TO BE - HW'!R46:R54)))))</f>
        <v>0</v>
      </c>
      <c r="AT12" s="472">
        <f>('TCO TO BE - HW'!S15+NPV(Faktory!$D$5,'TCO TO BE - HW'!S16:S24)+'TCO TO BE - HW'!S56+NPV(Faktory!$D$5,'TCO TO BE - HW'!S57:S65)+'TCO TO BE - HW'!S76+NPV(Faktory!$D$5,'TCO TO BE - HW'!S77:S85)+'TCO TO BE - HW'!S86+NPV(Faktory!$D$5,'TCO TO BE - HW'!S87:S95)+'TCO TO BE - HW'!S96+NPV(Faktory!$D$5,'TCO TO BE - HW'!S97:S105)+('TCO TO BE - HW'!S25+NPV(Faktory!$D$5,'TCO TO BE - HW'!S26:S34)+('TCO TO BE - HW'!S35+NPV(Faktory!$D$5,'TCO TO BE - HW'!S26:S44)+('TCO TO BE - HW'!S45+NPV(Faktory!$D$5,'TCO TO BE - HW'!S46:S54)))))</f>
        <v>0</v>
      </c>
      <c r="AU12" s="472">
        <f>('TCO TO BE - HW'!T15+NPV(Faktory!$D$5,'TCO TO BE - HW'!T16:T24)+'TCO TO BE - HW'!T56+NPV(Faktory!$D$5,'TCO TO BE - HW'!T57:T65)+'TCO TO BE - HW'!T76+NPV(Faktory!$D$5,'TCO TO BE - HW'!T77:T85)+'TCO TO BE - HW'!T86+NPV(Faktory!$D$5,'TCO TO BE - HW'!T87:T95)+'TCO TO BE - HW'!T96+NPV(Faktory!$D$5,'TCO TO BE - HW'!T97:T105)+('TCO TO BE - HW'!T25+NPV(Faktory!$D$5,'TCO TO BE - HW'!T26:T34)+('TCO TO BE - HW'!T35+NPV(Faktory!$D$5,'TCO TO BE - HW'!T26:T44)+('TCO TO BE - HW'!T45+NPV(Faktory!$D$5,'TCO TO BE - HW'!T46:T54)))))</f>
        <v>0</v>
      </c>
      <c r="AV12" s="472">
        <f>('TCO TO BE - HW'!U15+NPV(Faktory!$D$5,'TCO TO BE - HW'!U16:U24)+'TCO TO BE - HW'!U56+NPV(Faktory!$D$5,'TCO TO BE - HW'!U57:U65)+'TCO TO BE - HW'!U76+NPV(Faktory!$D$5,'TCO TO BE - HW'!U77:U85)+'TCO TO BE - HW'!U86+NPV(Faktory!$D$5,'TCO TO BE - HW'!U87:U95)+'TCO TO BE - HW'!U96+NPV(Faktory!$D$5,'TCO TO BE - HW'!U97:U105)+('TCO TO BE - HW'!U25+NPV(Faktory!$D$5,'TCO TO BE - HW'!U26:U34)+('TCO TO BE - HW'!U35+NPV(Faktory!$D$5,'TCO TO BE - HW'!U26:U44)+('TCO TO BE - HW'!U45+NPV(Faktory!$D$5,'TCO TO BE - HW'!U46:U54)))))</f>
        <v>0</v>
      </c>
      <c r="AW12" s="472">
        <f>('TCO TO BE - HW'!V15+NPV(Faktory!$D$5,'TCO TO BE - HW'!V16:V24)+'TCO TO BE - HW'!V56+NPV(Faktory!$D$5,'TCO TO BE - HW'!V57:V65)+'TCO TO BE - HW'!V76+NPV(Faktory!$D$5,'TCO TO BE - HW'!V77:V85)+'TCO TO BE - HW'!V86+NPV(Faktory!$D$5,'TCO TO BE - HW'!V87:V95)+'TCO TO BE - HW'!V96+NPV(Faktory!$D$5,'TCO TO BE - HW'!V97:V105)+('TCO TO BE - HW'!V25+NPV(Faktory!$D$5,'TCO TO BE - HW'!V26:V34)+('TCO TO BE - HW'!V35+NPV(Faktory!$D$5,'TCO TO BE - HW'!V26:V44)+('TCO TO BE - HW'!V45+NPV(Faktory!$D$5,'TCO TO BE - HW'!V46:V54)))))</f>
        <v>0</v>
      </c>
      <c r="AX12" s="472">
        <f>('TCO TO BE - HW'!W15+NPV(Faktory!$D$5,'TCO TO BE - HW'!W16:W24)+'TCO TO BE - HW'!W56+NPV(Faktory!$D$5,'TCO TO BE - HW'!W57:W65)+'TCO TO BE - HW'!W76+NPV(Faktory!$D$5,'TCO TO BE - HW'!W77:W85)+'TCO TO BE - HW'!W86+NPV(Faktory!$D$5,'TCO TO BE - HW'!W87:W95)+'TCO TO BE - HW'!W96+NPV(Faktory!$D$5,'TCO TO BE - HW'!W97:W105)+('TCO TO BE - HW'!W25+NPV(Faktory!$D$5,'TCO TO BE - HW'!W26:W34)+('TCO TO BE - HW'!W35+NPV(Faktory!$D$5,'TCO TO BE - HW'!W26:W44)+('TCO TO BE - HW'!W45+NPV(Faktory!$D$5,'TCO TO BE - HW'!W46:W54)))))</f>
        <v>0</v>
      </c>
      <c r="AY12" s="472">
        <f>('TCO TO BE - HW'!X15+NPV(Faktory!$D$5,'TCO TO BE - HW'!X16:X24)+'TCO TO BE - HW'!X56+NPV(Faktory!$D$5,'TCO TO BE - HW'!X57:X65)+'TCO TO BE - HW'!X76+NPV(Faktory!$D$5,'TCO TO BE - HW'!X77:X85)+'TCO TO BE - HW'!X86+NPV(Faktory!$D$5,'TCO TO BE - HW'!X87:X95)+'TCO TO BE - HW'!X96+NPV(Faktory!$D$5,'TCO TO BE - HW'!X97:X105)+('TCO TO BE - HW'!X25+NPV(Faktory!$D$5,'TCO TO BE - HW'!X26:X34)+('TCO TO BE - HW'!X35+NPV(Faktory!$D$5,'TCO TO BE - HW'!X26:X44)+('TCO TO BE - HW'!X45+NPV(Faktory!$D$5,'TCO TO BE - HW'!X46:X54)))))</f>
        <v>0</v>
      </c>
      <c r="AZ12" s="472">
        <f>('TCO TO BE - HW'!Y15+NPV(Faktory!$D$5,'TCO TO BE - HW'!Y16:Y24)+'TCO TO BE - HW'!Y56+NPV(Faktory!$D$5,'TCO TO BE - HW'!Y57:Y65)+'TCO TO BE - HW'!Y76+NPV(Faktory!$D$5,'TCO TO BE - HW'!Y77:Y85)+'TCO TO BE - HW'!Y86+NPV(Faktory!$D$5,'TCO TO BE - HW'!Y87:Y95)+'TCO TO BE - HW'!Y96+NPV(Faktory!$D$5,'TCO TO BE - HW'!Y97:Y105)+('TCO TO BE - HW'!Y25+NPV(Faktory!$D$5,'TCO TO BE - HW'!Y26:Y34)+('TCO TO BE - HW'!Y35+NPV(Faktory!$D$5,'TCO TO BE - HW'!Y26:Y44)+('TCO TO BE - HW'!Y45+NPV(Faktory!$D$5,'TCO TO BE - HW'!Y46:Y54)))))</f>
        <v>0</v>
      </c>
      <c r="BA12" s="472">
        <f>('TCO TO BE - HW'!Z15+NPV(Faktory!$D$5,'TCO TO BE - HW'!Z16:Z24)+'TCO TO BE - HW'!Z56+NPV(Faktory!$D$5,'TCO TO BE - HW'!Z57:Z65)+'TCO TO BE - HW'!Z76+NPV(Faktory!$D$5,'TCO TO BE - HW'!Z77:Z85)+'TCO TO BE - HW'!Z86+NPV(Faktory!$D$5,'TCO TO BE - HW'!Z87:Z95)+'TCO TO BE - HW'!Z96+NPV(Faktory!$D$5,'TCO TO BE - HW'!Z97:Z105)+('TCO TO BE - HW'!Z25+NPV(Faktory!$D$5,'TCO TO BE - HW'!Z26:Z34)+('TCO TO BE - HW'!Z35+NPV(Faktory!$D$5,'TCO TO BE - HW'!Z26:Z44)+('TCO TO BE - HW'!Z45+NPV(Faktory!$D$5,'TCO TO BE - HW'!Z46:Z54)))))</f>
        <v>0</v>
      </c>
    </row>
    <row r="13" spans="1:53">
      <c r="A13" s="460"/>
      <c r="B13" s="458" t="s">
        <v>233</v>
      </c>
      <c r="C13" s="458"/>
      <c r="D13" s="459">
        <f>SUM(E13:Y13)</f>
        <v>13104</v>
      </c>
      <c r="E13" s="459">
        <f>'TCO TO BE- SW'!F150</f>
        <v>8102.4341262196886</v>
      </c>
      <c r="F13" s="459">
        <f>'TCO TO BE- SW'!G150</f>
        <v>719.47894138933259</v>
      </c>
      <c r="G13" s="459">
        <f>'TCO TO BE- SW'!H150</f>
        <v>3818.8465754459921</v>
      </c>
      <c r="H13" s="459">
        <f>'TCO TO BE- SW'!I150</f>
        <v>463.24035694498667</v>
      </c>
      <c r="I13" s="459">
        <f>'TCO TO BE- SW'!J150</f>
        <v>0</v>
      </c>
      <c r="J13" s="459">
        <f>'TCO TO BE- SW'!K150</f>
        <v>0</v>
      </c>
      <c r="K13" s="459">
        <f>'TCO TO BE- SW'!L150</f>
        <v>0</v>
      </c>
      <c r="L13" s="459">
        <f>'TCO TO BE- SW'!M150</f>
        <v>0</v>
      </c>
      <c r="M13" s="459">
        <f>'TCO TO BE- SW'!N150</f>
        <v>0</v>
      </c>
      <c r="N13" s="459">
        <f>'TCO TO BE- SW'!O150</f>
        <v>0</v>
      </c>
      <c r="O13" s="459">
        <f>'TCO TO BE- SW'!P150</f>
        <v>0</v>
      </c>
      <c r="P13" s="459">
        <f>'TCO TO BE- SW'!Q150</f>
        <v>0</v>
      </c>
      <c r="Q13" s="459">
        <f>'TCO TO BE- SW'!R150</f>
        <v>0</v>
      </c>
      <c r="R13" s="459">
        <f>'TCO TO BE- SW'!S150</f>
        <v>0</v>
      </c>
      <c r="S13" s="459">
        <f>'TCO TO BE- SW'!T150</f>
        <v>0</v>
      </c>
      <c r="T13" s="459">
        <f>'TCO TO BE- SW'!U150</f>
        <v>0</v>
      </c>
      <c r="U13" s="459">
        <f>'TCO TO BE- SW'!V150</f>
        <v>0</v>
      </c>
      <c r="V13" s="459">
        <f>'TCO TO BE- SW'!W150</f>
        <v>0</v>
      </c>
      <c r="W13" s="459">
        <f>'TCO TO BE- SW'!X150</f>
        <v>0</v>
      </c>
      <c r="X13" s="459">
        <f>'TCO TO BE- SW'!Y150</f>
        <v>0</v>
      </c>
      <c r="Y13" s="459">
        <f>'TCO TO BE- SW'!Z150</f>
        <v>0</v>
      </c>
      <c r="AC13" s="460"/>
      <c r="AD13" s="458" t="s">
        <v>233</v>
      </c>
      <c r="AE13" s="458"/>
      <c r="AF13" s="459">
        <f>SUM(AG13:BA13)</f>
        <v>13014.857142857143</v>
      </c>
      <c r="AG13" s="462">
        <f>'TCO TO BE- SW'!F151+NPV(Faktory!$D$5,'TCO TO BE- SW'!F152:F160)+'TCO TO BE- SW'!F161+NPV(Faktory!$D$5,'TCO TO BE- SW'!F162:F170)</f>
        <v>8047.3155267215961</v>
      </c>
      <c r="AH13" s="462">
        <f>'TCO TO BE- SW'!G151+NPV(Faktory!$D$5,'TCO TO BE- SW'!G152:G160)+'TCO TO BE- SW'!G161+NPV(Faktory!$D$5,'TCO TO BE- SW'!G162:G170)</f>
        <v>714.58452682205825</v>
      </c>
      <c r="AI13" s="462">
        <f>'TCO TO BE- SW'!H151+NPV(Faktory!$D$5,'TCO TO BE- SW'!H152:H160)+'TCO TO BE- SW'!H161+NPV(Faktory!$D$5,'TCO TO BE- SW'!H162:H170)</f>
        <v>3792.8680273137065</v>
      </c>
      <c r="AJ13" s="462">
        <f>'TCO TO BE- SW'!I151+NPV(Faktory!$D$5,'TCO TO BE- SW'!I152:I160)+'TCO TO BE- SW'!I161+NPV(Faktory!$D$5,'TCO TO BE- SW'!I162:I170)</f>
        <v>460.0890619997827</v>
      </c>
      <c r="AK13" s="462">
        <f>'TCO TO BE- SW'!J151+NPV(Faktory!$D$5,'TCO TO BE- SW'!J152:J160)+'TCO TO BE- SW'!J161+NPV(Faktory!$D$5,'TCO TO BE- SW'!J162:J170)</f>
        <v>0</v>
      </c>
      <c r="AL13" s="462">
        <f>'TCO TO BE- SW'!K151+NPV(Faktory!$D$5,'TCO TO BE- SW'!K152:K160)+'TCO TO BE- SW'!K161+NPV(Faktory!$D$5,'TCO TO BE- SW'!K162:K170)</f>
        <v>0</v>
      </c>
      <c r="AM13" s="462">
        <f>'TCO TO BE- SW'!L151+NPV(Faktory!$D$5,'TCO TO BE- SW'!L152:L160)+'TCO TO BE- SW'!L161+NPV(Faktory!$D$5,'TCO TO BE- SW'!L162:L170)</f>
        <v>0</v>
      </c>
      <c r="AN13" s="462">
        <f>'TCO TO BE- SW'!M151+NPV(Faktory!$D$5,'TCO TO BE- SW'!M152:M160)+'TCO TO BE- SW'!M161+NPV(Faktory!$D$5,'TCO TO BE- SW'!M162:M170)</f>
        <v>0</v>
      </c>
      <c r="AO13" s="462">
        <f>'TCO TO BE- SW'!N151+NPV(Faktory!$D$5,'TCO TO BE- SW'!N152:N160)+'TCO TO BE- SW'!N161+NPV(Faktory!$D$5,'TCO TO BE- SW'!N162:N170)</f>
        <v>0</v>
      </c>
      <c r="AP13" s="462">
        <f>'TCO TO BE- SW'!O151+NPV(Faktory!$D$5,'TCO TO BE- SW'!O152:O160)+'TCO TO BE- SW'!O161+NPV(Faktory!$D$5,'TCO TO BE- SW'!O162:O170)</f>
        <v>0</v>
      </c>
      <c r="AQ13" s="462">
        <f>'TCO TO BE- SW'!P151+NPV(Faktory!$D$5,'TCO TO BE- SW'!P152:P160)+'TCO TO BE- SW'!P161+NPV(Faktory!$D$5,'TCO TO BE- SW'!P162:P170)</f>
        <v>0</v>
      </c>
      <c r="AR13" s="462">
        <f>'TCO TO BE- SW'!Q151+NPV(Faktory!$D$5,'TCO TO BE- SW'!Q152:Q160)+'TCO TO BE- SW'!Q161+NPV(Faktory!$D$5,'TCO TO BE- SW'!Q162:Q170)</f>
        <v>0</v>
      </c>
      <c r="AS13" s="462">
        <f>'TCO TO BE- SW'!R151+NPV(Faktory!$D$5,'TCO TO BE- SW'!R152:R160)+'TCO TO BE- SW'!R161+NPV(Faktory!$D$5,'TCO TO BE- SW'!R162:R170)</f>
        <v>0</v>
      </c>
      <c r="AT13" s="462">
        <f>'TCO TO BE- SW'!S151+NPV(Faktory!$D$5,'TCO TO BE- SW'!S152:S160)+'TCO TO BE- SW'!S161+NPV(Faktory!$D$5,'TCO TO BE- SW'!S162:S170)</f>
        <v>0</v>
      </c>
      <c r="AU13" s="462">
        <f>'TCO TO BE- SW'!T151+NPV(Faktory!$D$5,'TCO TO BE- SW'!T152:T160)+'TCO TO BE- SW'!T161+NPV(Faktory!$D$5,'TCO TO BE- SW'!T162:T170)</f>
        <v>0</v>
      </c>
      <c r="AV13" s="462">
        <f>'TCO TO BE- SW'!U151+NPV(Faktory!$D$5,'TCO TO BE- SW'!U152:U160)+'TCO TO BE- SW'!U161+NPV(Faktory!$D$5,'TCO TO BE- SW'!U162:U170)</f>
        <v>0</v>
      </c>
      <c r="AW13" s="462">
        <f>'TCO TO BE- SW'!V151+NPV(Faktory!$D$5,'TCO TO BE- SW'!V152:V160)+'TCO TO BE- SW'!V161+NPV(Faktory!$D$5,'TCO TO BE- SW'!V162:V170)</f>
        <v>0</v>
      </c>
      <c r="AX13" s="462">
        <f>'TCO TO BE- SW'!W151+NPV(Faktory!$D$5,'TCO TO BE- SW'!W152:W160)+'TCO TO BE- SW'!W161+NPV(Faktory!$D$5,'TCO TO BE- SW'!W162:W170)</f>
        <v>0</v>
      </c>
      <c r="AY13" s="462">
        <f>'TCO TO BE- SW'!X151+NPV(Faktory!$D$5,'TCO TO BE- SW'!X152:X160)+'TCO TO BE- SW'!X161+NPV(Faktory!$D$5,'TCO TO BE- SW'!X162:X170)</f>
        <v>0</v>
      </c>
      <c r="AZ13" s="462">
        <f>'TCO TO BE- SW'!Y151+NPV(Faktory!$D$5,'TCO TO BE- SW'!Y152:Y160)+'TCO TO BE- SW'!Y161+NPV(Faktory!$D$5,'TCO TO BE- SW'!Y162:Y170)</f>
        <v>0</v>
      </c>
      <c r="BA13" s="462">
        <f>'TCO TO BE- SW'!Z151+NPV(Faktory!$D$5,'TCO TO BE- SW'!Z152:Z160)+'TCO TO BE- SW'!Z161+NPV(Faktory!$D$5,'TCO TO BE- SW'!Z162:Z170)</f>
        <v>0</v>
      </c>
    </row>
    <row r="14" spans="1:53">
      <c r="A14" s="460"/>
      <c r="B14" s="458" t="s">
        <v>246</v>
      </c>
      <c r="C14" s="458"/>
      <c r="D14" s="459">
        <f>SUM(E14:Y14)</f>
        <v>0</v>
      </c>
      <c r="E14" s="459">
        <f>'TCO TO BE- SW'!F171</f>
        <v>0</v>
      </c>
      <c r="F14" s="459">
        <f>'TCO TO BE- SW'!G171</f>
        <v>0</v>
      </c>
      <c r="G14" s="459">
        <f>'TCO TO BE- SW'!H171</f>
        <v>0</v>
      </c>
      <c r="H14" s="459">
        <f>'TCO TO BE- SW'!I171</f>
        <v>0</v>
      </c>
      <c r="I14" s="459">
        <f>'TCO TO BE- SW'!J171</f>
        <v>0</v>
      </c>
      <c r="J14" s="459">
        <f>'TCO TO BE- SW'!K171</f>
        <v>0</v>
      </c>
      <c r="K14" s="459">
        <f>'TCO TO BE- SW'!L171</f>
        <v>0</v>
      </c>
      <c r="L14" s="459">
        <f>'TCO TO BE- SW'!M171</f>
        <v>0</v>
      </c>
      <c r="M14" s="459">
        <f>'TCO TO BE- SW'!N171</f>
        <v>0</v>
      </c>
      <c r="N14" s="459">
        <f>'TCO TO BE- SW'!O171</f>
        <v>0</v>
      </c>
      <c r="O14" s="459">
        <f>'TCO TO BE- SW'!P171</f>
        <v>0</v>
      </c>
      <c r="P14" s="459">
        <f>'TCO TO BE- SW'!Q171</f>
        <v>0</v>
      </c>
      <c r="Q14" s="459">
        <f>'TCO TO BE- SW'!R171</f>
        <v>0</v>
      </c>
      <c r="R14" s="459">
        <f>'TCO TO BE- SW'!S171</f>
        <v>0</v>
      </c>
      <c r="S14" s="459">
        <f>'TCO TO BE- SW'!T171</f>
        <v>0</v>
      </c>
      <c r="T14" s="459">
        <f>'TCO TO BE- SW'!U171</f>
        <v>0</v>
      </c>
      <c r="U14" s="459">
        <f>'TCO TO BE- SW'!V171</f>
        <v>0</v>
      </c>
      <c r="V14" s="459">
        <f>'TCO TO BE- SW'!W171</f>
        <v>0</v>
      </c>
      <c r="W14" s="459">
        <f>'TCO TO BE- SW'!X171</f>
        <v>0</v>
      </c>
      <c r="X14" s="459">
        <f>'TCO TO BE- SW'!Y171</f>
        <v>0</v>
      </c>
      <c r="Y14" s="459">
        <f>'TCO TO BE- SW'!Z171</f>
        <v>0</v>
      </c>
      <c r="AC14" s="460"/>
      <c r="AD14" s="458" t="s">
        <v>246</v>
      </c>
      <c r="AE14" s="458"/>
      <c r="AF14" s="459">
        <f>SUM(AG14:BA14)</f>
        <v>0</v>
      </c>
      <c r="AG14" s="462">
        <f>'TCO TO BE- SW'!F172+NPV(Faktory!$D$5,'TCO TO BE- SW'!F173:F181)+'TCO TO BE- SW'!F182+NPV(Faktory!$D$5,'TCO TO BE- SW'!F183:F191)</f>
        <v>0</v>
      </c>
      <c r="AH14" s="462">
        <f>'TCO TO BE- SW'!G172+NPV(Faktory!$D$5,'TCO TO BE- SW'!G173:G181)+'TCO TO BE- SW'!G182+NPV(Faktory!$D$5,'TCO TO BE- SW'!G183:G191)</f>
        <v>0</v>
      </c>
      <c r="AI14" s="462">
        <f>'TCO TO BE- SW'!H172+NPV(Faktory!$D$5,'TCO TO BE- SW'!H173:H181)+'TCO TO BE- SW'!H182+NPV(Faktory!$D$5,'TCO TO BE- SW'!H183:H191)</f>
        <v>0</v>
      </c>
      <c r="AJ14" s="462">
        <f>'TCO TO BE- SW'!I172+NPV(Faktory!$D$5,'TCO TO BE- SW'!I173:I181)+'TCO TO BE- SW'!I182+NPV(Faktory!$D$5,'TCO TO BE- SW'!I183:I191)</f>
        <v>0</v>
      </c>
      <c r="AK14" s="462">
        <f>'TCO TO BE- SW'!J172+NPV(Faktory!$D$5,'TCO TO BE- SW'!J173:J181)+'TCO TO BE- SW'!J182+NPV(Faktory!$D$5,'TCO TO BE- SW'!J183:J191)</f>
        <v>0</v>
      </c>
      <c r="AL14" s="462">
        <f>'TCO TO BE- SW'!K172+NPV(Faktory!$D$5,'TCO TO BE- SW'!K173:K181)+'TCO TO BE- SW'!K182+NPV(Faktory!$D$5,'TCO TO BE- SW'!K183:K191)</f>
        <v>0</v>
      </c>
      <c r="AM14" s="462">
        <f>'TCO TO BE- SW'!L172+NPV(Faktory!$D$5,'TCO TO BE- SW'!L173:L181)+'TCO TO BE- SW'!L182+NPV(Faktory!$D$5,'TCO TO BE- SW'!L183:L191)</f>
        <v>0</v>
      </c>
      <c r="AN14" s="462">
        <f>'TCO TO BE- SW'!M172+NPV(Faktory!$D$5,'TCO TO BE- SW'!M173:M181)+'TCO TO BE- SW'!M182+NPV(Faktory!$D$5,'TCO TO BE- SW'!M183:M191)</f>
        <v>0</v>
      </c>
      <c r="AO14" s="462">
        <f>'TCO TO BE- SW'!N172+NPV(Faktory!$D$5,'TCO TO BE- SW'!N173:N181)+'TCO TO BE- SW'!N182+NPV(Faktory!$D$5,'TCO TO BE- SW'!N183:N191)</f>
        <v>0</v>
      </c>
      <c r="AP14" s="462">
        <f>'TCO TO BE- SW'!O172+NPV(Faktory!$D$5,'TCO TO BE- SW'!O173:O181)+'TCO TO BE- SW'!O182+NPV(Faktory!$D$5,'TCO TO BE- SW'!O183:O191)</f>
        <v>0</v>
      </c>
      <c r="AQ14" s="462">
        <f>'TCO TO BE- SW'!P172+NPV(Faktory!$D$5,'TCO TO BE- SW'!P173:P181)+'TCO TO BE- SW'!P182+NPV(Faktory!$D$5,'TCO TO BE- SW'!P183:P191)</f>
        <v>0</v>
      </c>
      <c r="AR14" s="462">
        <f>'TCO TO BE- SW'!Q172+NPV(Faktory!$D$5,'TCO TO BE- SW'!Q173:Q181)+'TCO TO BE- SW'!Q182+NPV(Faktory!$D$5,'TCO TO BE- SW'!Q183:Q191)</f>
        <v>0</v>
      </c>
      <c r="AS14" s="462">
        <f>'TCO TO BE- SW'!R172+NPV(Faktory!$D$5,'TCO TO BE- SW'!R173:R181)+'TCO TO BE- SW'!R182+NPV(Faktory!$D$5,'TCO TO BE- SW'!R183:R191)</f>
        <v>0</v>
      </c>
      <c r="AT14" s="462">
        <f>'TCO TO BE- SW'!S172+NPV(Faktory!$D$5,'TCO TO BE- SW'!S173:S181)+'TCO TO BE- SW'!S182+NPV(Faktory!$D$5,'TCO TO BE- SW'!S183:S191)</f>
        <v>0</v>
      </c>
      <c r="AU14" s="462">
        <f>'TCO TO BE- SW'!T172+NPV(Faktory!$D$5,'TCO TO BE- SW'!T173:T181)+'TCO TO BE- SW'!T182+NPV(Faktory!$D$5,'TCO TO BE- SW'!T183:T191)</f>
        <v>0</v>
      </c>
      <c r="AV14" s="462">
        <f>'TCO TO BE- SW'!U172+NPV(Faktory!$D$5,'TCO TO BE- SW'!U173:U181)+'TCO TO BE- SW'!U182+NPV(Faktory!$D$5,'TCO TO BE- SW'!U183:U191)</f>
        <v>0</v>
      </c>
      <c r="AW14" s="462">
        <f>'TCO TO BE- SW'!V172+NPV(Faktory!$D$5,'TCO TO BE- SW'!V173:V181)+'TCO TO BE- SW'!V182+NPV(Faktory!$D$5,'TCO TO BE- SW'!V183:V191)</f>
        <v>0</v>
      </c>
      <c r="AX14" s="462">
        <f>'TCO TO BE- SW'!W172+NPV(Faktory!$D$5,'TCO TO BE- SW'!W173:W181)+'TCO TO BE- SW'!W182+NPV(Faktory!$D$5,'TCO TO BE- SW'!W183:W191)</f>
        <v>0</v>
      </c>
      <c r="AY14" s="462">
        <f>'TCO TO BE- SW'!X172+NPV(Faktory!$D$5,'TCO TO BE- SW'!X173:X181)+'TCO TO BE- SW'!X182+NPV(Faktory!$D$5,'TCO TO BE- SW'!X183:X191)</f>
        <v>0</v>
      </c>
      <c r="AZ14" s="462">
        <f>'TCO TO BE- SW'!Y172+NPV(Faktory!$D$5,'TCO TO BE- SW'!Y173:Y181)+'TCO TO BE- SW'!Y182+NPV(Faktory!$D$5,'TCO TO BE- SW'!Y183:Y191)</f>
        <v>0</v>
      </c>
      <c r="BA14" s="462">
        <f>'TCO TO BE- SW'!Z172+NPV(Faktory!$D$5,'TCO TO BE- SW'!Z173:Z181)+'TCO TO BE- SW'!Z182+NPV(Faktory!$D$5,'TCO TO BE- SW'!Z183:Z191)</f>
        <v>0</v>
      </c>
    </row>
    <row r="15" spans="1:53">
      <c r="A15" s="455" t="s">
        <v>160</v>
      </c>
      <c r="B15" s="455"/>
      <c r="C15" s="455"/>
      <c r="D15" s="463">
        <f>SUM(E15:X15)</f>
        <v>51985603.823904388</v>
      </c>
      <c r="E15" s="456">
        <f>E16+E19</f>
        <v>51985603.823904388</v>
      </c>
      <c r="F15" s="456">
        <f t="shared" ref="F15:Y15" si="3">F16+F19</f>
        <v>0</v>
      </c>
      <c r="G15" s="456">
        <f t="shared" si="3"/>
        <v>0</v>
      </c>
      <c r="H15" s="456">
        <f t="shared" si="3"/>
        <v>0</v>
      </c>
      <c r="I15" s="456">
        <f t="shared" si="3"/>
        <v>0</v>
      </c>
      <c r="J15" s="456">
        <f t="shared" si="3"/>
        <v>0</v>
      </c>
      <c r="K15" s="456">
        <f t="shared" si="3"/>
        <v>0</v>
      </c>
      <c r="L15" s="456">
        <f t="shared" si="3"/>
        <v>0</v>
      </c>
      <c r="M15" s="456">
        <f t="shared" si="3"/>
        <v>0</v>
      </c>
      <c r="N15" s="456">
        <f t="shared" si="3"/>
        <v>0</v>
      </c>
      <c r="O15" s="456">
        <f t="shared" si="3"/>
        <v>0</v>
      </c>
      <c r="P15" s="456">
        <f t="shared" si="3"/>
        <v>0</v>
      </c>
      <c r="Q15" s="456">
        <f t="shared" si="3"/>
        <v>0</v>
      </c>
      <c r="R15" s="456">
        <f t="shared" si="3"/>
        <v>0</v>
      </c>
      <c r="S15" s="456">
        <f t="shared" si="3"/>
        <v>0</v>
      </c>
      <c r="T15" s="456">
        <f t="shared" si="3"/>
        <v>0</v>
      </c>
      <c r="U15" s="456">
        <f t="shared" si="3"/>
        <v>0</v>
      </c>
      <c r="V15" s="456">
        <f t="shared" si="3"/>
        <v>0</v>
      </c>
      <c r="W15" s="456">
        <f t="shared" si="3"/>
        <v>0</v>
      </c>
      <c r="X15" s="456">
        <f t="shared" si="3"/>
        <v>0</v>
      </c>
      <c r="Y15" s="456">
        <f t="shared" si="3"/>
        <v>0</v>
      </c>
      <c r="AC15" s="455" t="s">
        <v>160</v>
      </c>
      <c r="AD15" s="455"/>
      <c r="AE15" s="455"/>
      <c r="AF15" s="463">
        <f>SUM(AG15:AZ15)</f>
        <v>41739141.962502867</v>
      </c>
      <c r="AG15" s="463">
        <f>AG16+AG19</f>
        <v>1955987.9272770453</v>
      </c>
      <c r="AH15" s="463">
        <f t="shared" ref="AH15:BA15" si="4">AH16+AH19</f>
        <v>26405837.018240117</v>
      </c>
      <c r="AI15" s="463">
        <f t="shared" si="4"/>
        <v>13377317.016985709</v>
      </c>
      <c r="AJ15" s="463">
        <f t="shared" si="4"/>
        <v>0</v>
      </c>
      <c r="AK15" s="463">
        <f t="shared" si="4"/>
        <v>0</v>
      </c>
      <c r="AL15" s="463">
        <f t="shared" si="4"/>
        <v>0</v>
      </c>
      <c r="AM15" s="463">
        <f t="shared" si="4"/>
        <v>0</v>
      </c>
      <c r="AN15" s="463">
        <f t="shared" si="4"/>
        <v>0</v>
      </c>
      <c r="AO15" s="463">
        <f t="shared" si="4"/>
        <v>0</v>
      </c>
      <c r="AP15" s="463">
        <f t="shared" si="4"/>
        <v>0</v>
      </c>
      <c r="AQ15" s="463">
        <f t="shared" si="4"/>
        <v>0</v>
      </c>
      <c r="AR15" s="463">
        <f t="shared" si="4"/>
        <v>0</v>
      </c>
      <c r="AS15" s="463">
        <f t="shared" si="4"/>
        <v>0</v>
      </c>
      <c r="AT15" s="463">
        <f t="shared" si="4"/>
        <v>0</v>
      </c>
      <c r="AU15" s="463">
        <f t="shared" si="4"/>
        <v>0</v>
      </c>
      <c r="AV15" s="463">
        <f t="shared" si="4"/>
        <v>0</v>
      </c>
      <c r="AW15" s="463">
        <f t="shared" si="4"/>
        <v>0</v>
      </c>
      <c r="AX15" s="463">
        <f t="shared" si="4"/>
        <v>0</v>
      </c>
      <c r="AY15" s="463">
        <f t="shared" si="4"/>
        <v>0</v>
      </c>
      <c r="AZ15" s="463">
        <f t="shared" si="4"/>
        <v>0</v>
      </c>
      <c r="BA15" s="463">
        <f t="shared" si="4"/>
        <v>0</v>
      </c>
    </row>
    <row r="16" spans="1:53">
      <c r="A16" s="457"/>
      <c r="B16" s="458" t="s">
        <v>17</v>
      </c>
      <c r="C16" s="458"/>
      <c r="D16" s="459">
        <f>SUM(E16:X16)</f>
        <v>0</v>
      </c>
      <c r="E16" s="459">
        <f>E17+E18</f>
        <v>0</v>
      </c>
      <c r="F16" s="459">
        <f t="shared" ref="F16:Y16" si="5">F17+F18</f>
        <v>0</v>
      </c>
      <c r="G16" s="459">
        <f t="shared" si="5"/>
        <v>0</v>
      </c>
      <c r="H16" s="459">
        <f t="shared" si="5"/>
        <v>0</v>
      </c>
      <c r="I16" s="459">
        <f t="shared" si="5"/>
        <v>0</v>
      </c>
      <c r="J16" s="459">
        <f t="shared" si="5"/>
        <v>0</v>
      </c>
      <c r="K16" s="459">
        <f t="shared" si="5"/>
        <v>0</v>
      </c>
      <c r="L16" s="459">
        <f t="shared" si="5"/>
        <v>0</v>
      </c>
      <c r="M16" s="459">
        <f t="shared" si="5"/>
        <v>0</v>
      </c>
      <c r="N16" s="459">
        <f t="shared" si="5"/>
        <v>0</v>
      </c>
      <c r="O16" s="459">
        <f t="shared" si="5"/>
        <v>0</v>
      </c>
      <c r="P16" s="459">
        <f t="shared" si="5"/>
        <v>0</v>
      </c>
      <c r="Q16" s="459">
        <f t="shared" si="5"/>
        <v>0</v>
      </c>
      <c r="R16" s="459">
        <f t="shared" si="5"/>
        <v>0</v>
      </c>
      <c r="S16" s="459">
        <f t="shared" si="5"/>
        <v>0</v>
      </c>
      <c r="T16" s="459">
        <f t="shared" si="5"/>
        <v>0</v>
      </c>
      <c r="U16" s="459">
        <f t="shared" si="5"/>
        <v>0</v>
      </c>
      <c r="V16" s="459">
        <f t="shared" si="5"/>
        <v>0</v>
      </c>
      <c r="W16" s="459">
        <f t="shared" si="5"/>
        <v>0</v>
      </c>
      <c r="X16" s="459">
        <f t="shared" si="5"/>
        <v>0</v>
      </c>
      <c r="Y16" s="459">
        <f t="shared" si="5"/>
        <v>0</v>
      </c>
      <c r="AC16" s="457"/>
      <c r="AD16" s="458" t="s">
        <v>17</v>
      </c>
      <c r="AE16" s="458"/>
      <c r="AF16" s="459">
        <f>SUM(AG16:AZ16)</f>
        <v>0</v>
      </c>
      <c r="AG16" s="459">
        <f>AG17+AG18</f>
        <v>0</v>
      </c>
      <c r="AH16" s="459">
        <f t="shared" ref="AH16:BA16" si="6">AH17+AH18</f>
        <v>0</v>
      </c>
      <c r="AI16" s="459">
        <f t="shared" si="6"/>
        <v>0</v>
      </c>
      <c r="AJ16" s="459">
        <f t="shared" si="6"/>
        <v>0</v>
      </c>
      <c r="AK16" s="459">
        <f t="shared" si="6"/>
        <v>0</v>
      </c>
      <c r="AL16" s="459">
        <f t="shared" si="6"/>
        <v>0</v>
      </c>
      <c r="AM16" s="459">
        <f t="shared" si="6"/>
        <v>0</v>
      </c>
      <c r="AN16" s="459">
        <f t="shared" si="6"/>
        <v>0</v>
      </c>
      <c r="AO16" s="459">
        <f t="shared" si="6"/>
        <v>0</v>
      </c>
      <c r="AP16" s="459">
        <f t="shared" si="6"/>
        <v>0</v>
      </c>
      <c r="AQ16" s="459">
        <f t="shared" si="6"/>
        <v>0</v>
      </c>
      <c r="AR16" s="459">
        <f t="shared" si="6"/>
        <v>0</v>
      </c>
      <c r="AS16" s="459">
        <f t="shared" si="6"/>
        <v>0</v>
      </c>
      <c r="AT16" s="459">
        <f t="shared" si="6"/>
        <v>0</v>
      </c>
      <c r="AU16" s="459">
        <f t="shared" si="6"/>
        <v>0</v>
      </c>
      <c r="AV16" s="459">
        <f t="shared" si="6"/>
        <v>0</v>
      </c>
      <c r="AW16" s="459">
        <f t="shared" si="6"/>
        <v>0</v>
      </c>
      <c r="AX16" s="459">
        <f t="shared" si="6"/>
        <v>0</v>
      </c>
      <c r="AY16" s="459">
        <f t="shared" si="6"/>
        <v>0</v>
      </c>
      <c r="AZ16" s="459">
        <f t="shared" si="6"/>
        <v>0</v>
      </c>
      <c r="BA16" s="459">
        <f t="shared" si="6"/>
        <v>0</v>
      </c>
    </row>
    <row r="17" spans="1:53">
      <c r="A17" s="460"/>
      <c r="B17" s="460"/>
      <c r="C17" s="461" t="s">
        <v>47</v>
      </c>
      <c r="D17" s="477">
        <f>SUM(E17:X17)</f>
        <v>0</v>
      </c>
      <c r="E17" s="477">
        <f>SUM('Parametre - Agendové IS'!I116:I125)</f>
        <v>0</v>
      </c>
      <c r="F17" s="477">
        <f>SUM('Parametre - Agendové IS'!J116:J125)</f>
        <v>0</v>
      </c>
      <c r="G17" s="477">
        <f>SUM('Parametre - Agendové IS'!K116:K125)</f>
        <v>0</v>
      </c>
      <c r="H17" s="477">
        <f>SUM('Parametre - Agendové IS'!L116:L125)</f>
        <v>0</v>
      </c>
      <c r="I17" s="477">
        <f>SUM('Parametre - Agendové IS'!M116:M125)</f>
        <v>0</v>
      </c>
      <c r="J17" s="477">
        <f>SUM('Parametre - Agendové IS'!N116:N125)</f>
        <v>0</v>
      </c>
      <c r="K17" s="477">
        <f>SUM('Parametre - Agendové IS'!O116:O125)</f>
        <v>0</v>
      </c>
      <c r="L17" s="477">
        <f>SUM('Parametre - Agendové IS'!P116:P125)</f>
        <v>0</v>
      </c>
      <c r="M17" s="477">
        <f>SUM('Parametre - Agendové IS'!Q116:Q125)</f>
        <v>0</v>
      </c>
      <c r="N17" s="477">
        <f>SUM('Parametre - Agendové IS'!R116:R125)</f>
        <v>0</v>
      </c>
      <c r="O17" s="477">
        <f>SUM('Parametre - Agendové IS'!S116:S125)</f>
        <v>0</v>
      </c>
      <c r="P17" s="477">
        <f>SUM('Parametre - Agendové IS'!T116:T125)</f>
        <v>0</v>
      </c>
      <c r="Q17" s="477">
        <f>SUM('Parametre - Agendové IS'!U116:U125)</f>
        <v>0</v>
      </c>
      <c r="R17" s="477">
        <f>SUM('Parametre - Agendové IS'!V116:V125)</f>
        <v>0</v>
      </c>
      <c r="S17" s="477">
        <f>SUM('Parametre - Agendové IS'!W116:W125)</f>
        <v>0</v>
      </c>
      <c r="T17" s="477">
        <f>SUM('Parametre - Agendové IS'!X116:X125)</f>
        <v>0</v>
      </c>
      <c r="U17" s="477">
        <f>SUM('Parametre - Agendové IS'!Y116:Y125)</f>
        <v>0</v>
      </c>
      <c r="V17" s="477">
        <f>SUM('Parametre - Agendové IS'!Z116:Z125)</f>
        <v>0</v>
      </c>
      <c r="W17" s="477">
        <f>SUM('Parametre - Agendové IS'!AA116:AA125)</f>
        <v>0</v>
      </c>
      <c r="X17" s="477">
        <f>SUM('Parametre - Agendové IS'!AB116:AB125)</f>
        <v>0</v>
      </c>
      <c r="Y17" s="477">
        <f>SUM('Parametre - Agendové IS'!AC116:AC125)</f>
        <v>0</v>
      </c>
      <c r="AC17" s="460"/>
      <c r="AD17" s="460"/>
      <c r="AE17" s="461" t="s">
        <v>47</v>
      </c>
      <c r="AF17" s="472">
        <f>SUM(AG17:AZ17)</f>
        <v>0</v>
      </c>
      <c r="AG17" s="472">
        <f>'Parametre - Agendové IS'!I116+NPV(Faktory!$D$3,'Parametre - Agendové IS'!I117:I125)</f>
        <v>0</v>
      </c>
      <c r="AH17" s="472">
        <f>'Parametre - Agendové IS'!J116+NPV(Faktory!$D$3,'Parametre - Agendové IS'!J117:J125)</f>
        <v>0</v>
      </c>
      <c r="AI17" s="472">
        <f>'Parametre - Agendové IS'!K116+NPV(Faktory!$D$3,'Parametre - Agendové IS'!K117:K125)</f>
        <v>0</v>
      </c>
      <c r="AJ17" s="472">
        <f>'Parametre - Agendové IS'!L116+NPV(Faktory!$D$3,'Parametre - Agendové IS'!L117:L125)</f>
        <v>0</v>
      </c>
      <c r="AK17" s="472">
        <f>'Parametre - Agendové IS'!M116+NPV(Faktory!$D$3,'Parametre - Agendové IS'!M117:M125)</f>
        <v>0</v>
      </c>
      <c r="AL17" s="472">
        <f>'Parametre - Agendové IS'!N116+NPV(Faktory!$D$3,'Parametre - Agendové IS'!N117:N125)</f>
        <v>0</v>
      </c>
      <c r="AM17" s="472">
        <f>'Parametre - Agendové IS'!O116+NPV(Faktory!$D$3,'Parametre - Agendové IS'!O117:O125)</f>
        <v>0</v>
      </c>
      <c r="AN17" s="472">
        <f>'Parametre - Agendové IS'!P116+NPV(Faktory!$D$3,'Parametre - Agendové IS'!P117:P125)</f>
        <v>0</v>
      </c>
      <c r="AO17" s="472">
        <f>'Parametre - Agendové IS'!Q116+NPV(Faktory!$D$3,'Parametre - Agendové IS'!Q117:Q125)</f>
        <v>0</v>
      </c>
      <c r="AP17" s="472">
        <f>'Parametre - Agendové IS'!R116+NPV(Faktory!$D$3,'Parametre - Agendové IS'!R117:R125)</f>
        <v>0</v>
      </c>
      <c r="AQ17" s="472">
        <f>'Parametre - Agendové IS'!S116+NPV(Faktory!$D$3,'Parametre - Agendové IS'!S117:S125)</f>
        <v>0</v>
      </c>
      <c r="AR17" s="472">
        <f>'Parametre - Agendové IS'!T116+NPV(Faktory!$D$3,'Parametre - Agendové IS'!T117:T125)</f>
        <v>0</v>
      </c>
      <c r="AS17" s="472">
        <f>'Parametre - Agendové IS'!U116+NPV(Faktory!$D$3,'Parametre - Agendové IS'!U117:U125)</f>
        <v>0</v>
      </c>
      <c r="AT17" s="472">
        <f>'Parametre - Agendové IS'!V116+NPV(Faktory!$D$3,'Parametre - Agendové IS'!V117:V125)</f>
        <v>0</v>
      </c>
      <c r="AU17" s="472">
        <f>'Parametre - Agendové IS'!W116+NPV(Faktory!$D$3,'Parametre - Agendové IS'!W117:W125)</f>
        <v>0</v>
      </c>
      <c r="AV17" s="472">
        <f>'Parametre - Agendové IS'!X116+NPV(Faktory!$D$3,'Parametre - Agendové IS'!X117:X125)</f>
        <v>0</v>
      </c>
      <c r="AW17" s="472">
        <f>'Parametre - Agendové IS'!Y116+NPV(Faktory!$D$3,'Parametre - Agendové IS'!Y117:Y125)</f>
        <v>0</v>
      </c>
      <c r="AX17" s="472">
        <f>'Parametre - Agendové IS'!Z116+NPV(Faktory!$D$3,'Parametre - Agendové IS'!Z117:Z125)</f>
        <v>0</v>
      </c>
      <c r="AY17" s="472">
        <f>'Parametre - Agendové IS'!AA116+NPV(Faktory!$D$3,'Parametre - Agendové IS'!AA117:AA125)</f>
        <v>0</v>
      </c>
      <c r="AZ17" s="472">
        <f>'Parametre - Agendové IS'!AB116+NPV(Faktory!$D$3,'Parametre - Agendové IS'!AB117:AB125)</f>
        <v>0</v>
      </c>
      <c r="BA17" s="472">
        <f>'Parametre - Agendové IS'!AC116+NPV(Faktory!$D$3,'Parametre - Agendové IS'!AC117:AC125)</f>
        <v>0</v>
      </c>
    </row>
    <row r="18" spans="1:53">
      <c r="A18" s="460"/>
      <c r="B18" s="460"/>
      <c r="C18" s="461" t="s">
        <v>48</v>
      </c>
      <c r="D18" s="477">
        <f>'Prínosy - Agendové IS'!AN15</f>
        <v>0</v>
      </c>
      <c r="E18" s="474"/>
      <c r="F18" s="474"/>
      <c r="G18" s="474"/>
      <c r="H18" s="474"/>
      <c r="I18" s="474"/>
      <c r="J18" s="475"/>
      <c r="K18" s="474"/>
      <c r="L18" s="474"/>
      <c r="M18" s="474"/>
      <c r="N18" s="475"/>
      <c r="O18" s="474"/>
      <c r="P18" s="474"/>
      <c r="Q18" s="474"/>
      <c r="R18" s="475"/>
      <c r="S18" s="474"/>
      <c r="T18" s="474"/>
      <c r="U18" s="474"/>
      <c r="V18" s="475"/>
      <c r="W18" s="474"/>
      <c r="X18" s="474"/>
      <c r="Y18" s="474"/>
      <c r="Z18" s="333"/>
      <c r="AC18" s="460"/>
      <c r="AD18" s="460"/>
      <c r="AE18" s="461" t="s">
        <v>48</v>
      </c>
      <c r="AF18" s="472">
        <f>'Prínosy - Agendové IS'!L15</f>
        <v>0</v>
      </c>
      <c r="AG18" s="474"/>
      <c r="AH18" s="474"/>
      <c r="AI18" s="474"/>
      <c r="AJ18" s="474"/>
      <c r="AK18" s="475"/>
      <c r="AL18" s="474"/>
      <c r="AM18" s="474"/>
      <c r="AN18" s="474"/>
      <c r="AO18" s="475"/>
      <c r="AP18" s="474"/>
      <c r="AQ18" s="474"/>
      <c r="AR18" s="474"/>
      <c r="AS18" s="475"/>
      <c r="AT18" s="474"/>
      <c r="AU18" s="474"/>
      <c r="AV18" s="474"/>
      <c r="AW18" s="475"/>
      <c r="AX18" s="474"/>
      <c r="AY18" s="474"/>
      <c r="AZ18" s="474"/>
      <c r="BA18" s="475"/>
    </row>
    <row r="19" spans="1:53">
      <c r="A19" s="457"/>
      <c r="B19" s="458" t="s">
        <v>18</v>
      </c>
      <c r="C19" s="458"/>
      <c r="D19" s="459">
        <f>SUM(E19:X19)</f>
        <v>51985603.823904388</v>
      </c>
      <c r="E19" s="459">
        <f>E20+E21+E23</f>
        <v>51985603.823904388</v>
      </c>
      <c r="F19" s="459">
        <f t="shared" ref="F19:Y19" si="7">F20+F21+F23</f>
        <v>0</v>
      </c>
      <c r="G19" s="459">
        <f t="shared" si="7"/>
        <v>0</v>
      </c>
      <c r="H19" s="459">
        <f t="shared" si="7"/>
        <v>0</v>
      </c>
      <c r="I19" s="459">
        <f t="shared" si="7"/>
        <v>0</v>
      </c>
      <c r="J19" s="459">
        <f t="shared" si="7"/>
        <v>0</v>
      </c>
      <c r="K19" s="459">
        <f t="shared" si="7"/>
        <v>0</v>
      </c>
      <c r="L19" s="459">
        <f t="shared" si="7"/>
        <v>0</v>
      </c>
      <c r="M19" s="459">
        <f t="shared" si="7"/>
        <v>0</v>
      </c>
      <c r="N19" s="459">
        <f t="shared" si="7"/>
        <v>0</v>
      </c>
      <c r="O19" s="459">
        <f t="shared" si="7"/>
        <v>0</v>
      </c>
      <c r="P19" s="459">
        <f t="shared" si="7"/>
        <v>0</v>
      </c>
      <c r="Q19" s="459">
        <f t="shared" si="7"/>
        <v>0</v>
      </c>
      <c r="R19" s="459">
        <f t="shared" si="7"/>
        <v>0</v>
      </c>
      <c r="S19" s="459">
        <f t="shared" si="7"/>
        <v>0</v>
      </c>
      <c r="T19" s="459">
        <f t="shared" si="7"/>
        <v>0</v>
      </c>
      <c r="U19" s="459">
        <f t="shared" si="7"/>
        <v>0</v>
      </c>
      <c r="V19" s="459">
        <f t="shared" si="7"/>
        <v>0</v>
      </c>
      <c r="W19" s="459">
        <f t="shared" si="7"/>
        <v>0</v>
      </c>
      <c r="X19" s="459">
        <f t="shared" si="7"/>
        <v>0</v>
      </c>
      <c r="Y19" s="459">
        <f t="shared" si="7"/>
        <v>0</v>
      </c>
      <c r="AC19" s="457"/>
      <c r="AD19" s="458" t="s">
        <v>18</v>
      </c>
      <c r="AE19" s="458"/>
      <c r="AF19" s="459">
        <f>SUM(AG19:AZ19)</f>
        <v>41739141.962502867</v>
      </c>
      <c r="AG19" s="459">
        <f>AG20+AG21+AG23</f>
        <v>1955987.9272770453</v>
      </c>
      <c r="AH19" s="459">
        <f t="shared" ref="AH19:BA19" si="8">AH20+AH21+AH23</f>
        <v>26405837.018240117</v>
      </c>
      <c r="AI19" s="459">
        <f t="shared" si="8"/>
        <v>13377317.016985709</v>
      </c>
      <c r="AJ19" s="459">
        <f t="shared" si="8"/>
        <v>0</v>
      </c>
      <c r="AK19" s="459">
        <f t="shared" si="8"/>
        <v>0</v>
      </c>
      <c r="AL19" s="459">
        <f t="shared" si="8"/>
        <v>0</v>
      </c>
      <c r="AM19" s="459">
        <f t="shared" si="8"/>
        <v>0</v>
      </c>
      <c r="AN19" s="459">
        <f t="shared" si="8"/>
        <v>0</v>
      </c>
      <c r="AO19" s="459">
        <f t="shared" si="8"/>
        <v>0</v>
      </c>
      <c r="AP19" s="459">
        <f t="shared" si="8"/>
        <v>0</v>
      </c>
      <c r="AQ19" s="459">
        <f t="shared" si="8"/>
        <v>0</v>
      </c>
      <c r="AR19" s="459">
        <f t="shared" si="8"/>
        <v>0</v>
      </c>
      <c r="AS19" s="459">
        <f t="shared" si="8"/>
        <v>0</v>
      </c>
      <c r="AT19" s="459">
        <f t="shared" si="8"/>
        <v>0</v>
      </c>
      <c r="AU19" s="459">
        <f t="shared" si="8"/>
        <v>0</v>
      </c>
      <c r="AV19" s="459">
        <f t="shared" si="8"/>
        <v>0</v>
      </c>
      <c r="AW19" s="459">
        <f t="shared" si="8"/>
        <v>0</v>
      </c>
      <c r="AX19" s="459">
        <f t="shared" si="8"/>
        <v>0</v>
      </c>
      <c r="AY19" s="459">
        <f t="shared" si="8"/>
        <v>0</v>
      </c>
      <c r="AZ19" s="459">
        <f t="shared" si="8"/>
        <v>0</v>
      </c>
      <c r="BA19" s="459">
        <f t="shared" si="8"/>
        <v>0</v>
      </c>
    </row>
    <row r="20" spans="1:53">
      <c r="A20" s="460"/>
      <c r="B20" s="460"/>
      <c r="C20" s="461" t="s">
        <v>162</v>
      </c>
      <c r="D20" s="477">
        <f>SUM(E20:X20)</f>
        <v>0</v>
      </c>
      <c r="E20" s="477">
        <f>SUM('Parametre - Agendové IS'!I96:I105)</f>
        <v>0</v>
      </c>
      <c r="F20" s="477">
        <f>SUM('Parametre - Agendové IS'!L96:L105)</f>
        <v>0</v>
      </c>
      <c r="G20" s="477">
        <f>SUM('Parametre - Agendové IS'!O96:O105)</f>
        <v>0</v>
      </c>
      <c r="H20" s="477">
        <f>SUM('Parametre - Agendové IS'!R96:R105)</f>
        <v>0</v>
      </c>
      <c r="I20" s="477">
        <f>SUM('Parametre - Agendové IS'!U96:U105)</f>
        <v>0</v>
      </c>
      <c r="J20" s="477">
        <f>SUM('Parametre - Agendové IS'!X96:X105)</f>
        <v>0</v>
      </c>
      <c r="K20" s="477">
        <f>SUM('Parametre - Agendové IS'!AA96:AA105)</f>
        <v>0</v>
      </c>
      <c r="L20" s="477">
        <f>SUM('Parametre - Agendové IS'!AD96:AD105)</f>
        <v>0</v>
      </c>
      <c r="M20" s="477">
        <f>SUM('Parametre - Agendové IS'!AG96:AG105)</f>
        <v>0</v>
      </c>
      <c r="N20" s="477">
        <f>SUM('Parametre - Agendové IS'!AJ96:AJ105)</f>
        <v>0</v>
      </c>
      <c r="O20" s="477">
        <f>SUM('Parametre - Agendové IS'!AM96:AM105)</f>
        <v>0</v>
      </c>
      <c r="P20" s="477">
        <f>SUM('Parametre - Agendové IS'!AP96:AP105)</f>
        <v>0</v>
      </c>
      <c r="Q20" s="477">
        <f>SUM('Parametre - Agendové IS'!AS96:AS105)</f>
        <v>0</v>
      </c>
      <c r="R20" s="477">
        <f>SUM('Parametre - Agendové IS'!AV96:AV105)</f>
        <v>0</v>
      </c>
      <c r="S20" s="477">
        <f>SUM('Parametre - Agendové IS'!AY96:AY105)</f>
        <v>0</v>
      </c>
      <c r="T20" s="477">
        <f>SUM('Parametre - Agendové IS'!BB96:BB105)</f>
        <v>0</v>
      </c>
      <c r="U20" s="477">
        <f>SUM('Parametre - Agendové IS'!BE96:BE105)</f>
        <v>0</v>
      </c>
      <c r="V20" s="477">
        <f>SUM('Parametre - Agendové IS'!BH96:BH105)</f>
        <v>0</v>
      </c>
      <c r="W20" s="477">
        <f>SUM('Parametre - Agendové IS'!BK96:BK105)</f>
        <v>0</v>
      </c>
      <c r="X20" s="477">
        <f>SUM('Parametre - Agendové IS'!BN96:BN105)</f>
        <v>0</v>
      </c>
      <c r="Y20" s="477">
        <f>SUM('Parametre - Agendové IS'!BQ96:BQ105)</f>
        <v>0</v>
      </c>
      <c r="AC20" s="460"/>
      <c r="AD20" s="460"/>
      <c r="AE20" s="461" t="s">
        <v>162</v>
      </c>
      <c r="AF20" s="472">
        <f>SUM(AG20:AZ20)</f>
        <v>0</v>
      </c>
      <c r="AG20" s="472">
        <f>'Parametre - Agendové IS'!I96+NPV(Faktory!$D$5,'Parametre - Agendové IS'!I97:I105)</f>
        <v>0</v>
      </c>
      <c r="AH20" s="472">
        <f>'Parametre - Agendové IS'!L96+NPV(Faktory!$D$5,'Parametre - Agendové IS'!L97:L105)</f>
        <v>0</v>
      </c>
      <c r="AI20" s="472">
        <f>'Parametre - Agendové IS'!O96+NPV(Faktory!$D$5,'Parametre - Agendové IS'!O97:O105)</f>
        <v>0</v>
      </c>
      <c r="AJ20" s="472">
        <f>'Parametre - Agendové IS'!R96+NPV(Faktory!$D$5,'Parametre - Agendové IS'!R97:R105)</f>
        <v>0</v>
      </c>
      <c r="AK20" s="472">
        <f>'Parametre - Agendové IS'!U96+NPV(Faktory!$D$5,'Parametre - Agendové IS'!U97:U105)</f>
        <v>0</v>
      </c>
      <c r="AL20" s="472">
        <f>'Parametre - Agendové IS'!X96+NPV(Faktory!$D$5,'Parametre - Agendové IS'!X97:X105)</f>
        <v>0</v>
      </c>
      <c r="AM20" s="472">
        <f>'Parametre - Agendové IS'!AA96+NPV(Faktory!$D$5,'Parametre - Agendové IS'!AA97:AA105)</f>
        <v>0</v>
      </c>
      <c r="AN20" s="472">
        <f>'Parametre - Agendové IS'!AD96+NPV(Faktory!$D$5,'Parametre - Agendové IS'!AD97:AD105)</f>
        <v>0</v>
      </c>
      <c r="AO20" s="472">
        <f>'Parametre - Agendové IS'!AG96+NPV(Faktory!$D$5,'Parametre - Agendové IS'!AG97:AG105)</f>
        <v>0</v>
      </c>
      <c r="AP20" s="472">
        <f>'Parametre - Agendové IS'!AJ96+NPV(Faktory!$D$5,'Parametre - Agendové IS'!AJ97:AJ105)</f>
        <v>0</v>
      </c>
      <c r="AQ20" s="472">
        <f>'Parametre - Agendové IS'!AM96+NPV(Faktory!$D$5,'Parametre - Agendové IS'!AM97:AM105)</f>
        <v>0</v>
      </c>
      <c r="AR20" s="472">
        <f>'Parametre - Agendové IS'!AP96+NPV(Faktory!$D$5,'Parametre - Agendové IS'!AP97:AP105)</f>
        <v>0</v>
      </c>
      <c r="AS20" s="472">
        <f>'Parametre - Agendové IS'!AS96+NPV(Faktory!$D$5,'Parametre - Agendové IS'!AS97:AS105)</f>
        <v>0</v>
      </c>
      <c r="AT20" s="472">
        <f>'Parametre - Agendové IS'!AV96+NPV(Faktory!$D$5,'Parametre - Agendové IS'!AV97:AV105)</f>
        <v>0</v>
      </c>
      <c r="AU20" s="472">
        <f>'Parametre - Agendové IS'!AY96+NPV(Faktory!$D$5,'Parametre - Agendové IS'!AY97:AY105)</f>
        <v>0</v>
      </c>
      <c r="AV20" s="472">
        <f>'Parametre - Agendové IS'!BB96+NPV(Faktory!$D$5,'Parametre - Agendové IS'!BB97:BB105)</f>
        <v>0</v>
      </c>
      <c r="AW20" s="472">
        <f>'Parametre - Agendové IS'!BE96+NPV(Faktory!$D$5,'Parametre - Agendové IS'!BE97:BE105)</f>
        <v>0</v>
      </c>
      <c r="AX20" s="472">
        <f>'Parametre - Agendové IS'!BH96+NPV(Faktory!$D$5,'Parametre - Agendové IS'!BH97:BH105)</f>
        <v>0</v>
      </c>
      <c r="AY20" s="472">
        <f>'Parametre - Agendové IS'!BK96+NPV(Faktory!$D$5,'Parametre - Agendové IS'!BK97:BK105)</f>
        <v>0</v>
      </c>
      <c r="AZ20" s="472">
        <f>'Parametre - Agendové IS'!BN96+NPV(Faktory!$D$5,'Parametre - Agendové IS'!BN97:BN105)</f>
        <v>0</v>
      </c>
      <c r="BA20" s="472">
        <f>'Parametre - Agendové IS'!BQ96+NPV(Faktory!$D$5,'Parametre - Agendové IS'!BQ97:BQC105)</f>
        <v>0</v>
      </c>
    </row>
    <row r="21" spans="1:53">
      <c r="A21" s="460"/>
      <c r="B21" s="460"/>
      <c r="C21" s="461" t="s">
        <v>161</v>
      </c>
      <c r="D21" s="477">
        <f>SUM(E21:X21)</f>
        <v>35324314.823904388</v>
      </c>
      <c r="E21" s="477">
        <f>-(SUM('Parametre - Agendové IS'!F76:F85))</f>
        <v>35324314.823904388</v>
      </c>
      <c r="F21" s="477">
        <f>-(SUM('Parametre - Agendové IS'!N76:N85))</f>
        <v>0</v>
      </c>
      <c r="G21" s="477">
        <f>-(SUM('Parametre - Agendové IS'!O76:O85))</f>
        <v>0</v>
      </c>
      <c r="H21" s="477">
        <f>-(SUM('Parametre - Agendové IS'!R76:R85))</f>
        <v>0</v>
      </c>
      <c r="I21" s="477">
        <f>-(SUM('Parametre - Agendové IS'!U76:U85))</f>
        <v>0</v>
      </c>
      <c r="J21" s="477">
        <f>-(SUM('Parametre - Agendové IS'!X76:X85))</f>
        <v>0</v>
      </c>
      <c r="K21" s="477">
        <f>-(SUM('Parametre - Agendové IS'!AA76:AA85))</f>
        <v>0</v>
      </c>
      <c r="L21" s="477">
        <f>-(SUM('Parametre - Agendové IS'!AD76:AD85))</f>
        <v>0</v>
      </c>
      <c r="M21" s="477">
        <f>-(SUM('Parametre - Agendové IS'!AG76:AG85))</f>
        <v>0</v>
      </c>
      <c r="N21" s="477">
        <f>-(SUM('Parametre - Agendové IS'!AJ76:AJ85))</f>
        <v>0</v>
      </c>
      <c r="O21" s="477">
        <f>-(SUM('Parametre - Agendové IS'!AM76:AM85))</f>
        <v>0</v>
      </c>
      <c r="P21" s="477">
        <f>-(SUM('Parametre - Agendové IS'!AP76:AP85))</f>
        <v>0</v>
      </c>
      <c r="Q21" s="477">
        <f>-(SUM('Parametre - Agendové IS'!AS76:AS85))</f>
        <v>0</v>
      </c>
      <c r="R21" s="477">
        <f>-(SUM('Parametre - Agendové IS'!AV76:AV85))</f>
        <v>0</v>
      </c>
      <c r="S21" s="477">
        <f>-(SUM('Parametre - Agendové IS'!AY76:AY85))</f>
        <v>0</v>
      </c>
      <c r="T21" s="477">
        <f>-(SUM('Parametre - Agendové IS'!BB76:BB85))</f>
        <v>0</v>
      </c>
      <c r="U21" s="477">
        <f>-(SUM('Parametre - Agendové IS'!BE76:BE85))</f>
        <v>0</v>
      </c>
      <c r="V21" s="477">
        <f>-(SUM('Parametre - Agendové IS'!BH76:BH85))</f>
        <v>0</v>
      </c>
      <c r="W21" s="477">
        <f>-(SUM('Parametre - Agendové IS'!BK76:BK85))</f>
        <v>0</v>
      </c>
      <c r="X21" s="477">
        <f>-(SUM('Parametre - Agendové IS'!BN76:BN85))</f>
        <v>0</v>
      </c>
      <c r="Y21" s="477">
        <f>-(SUM('Parametre - Agendové IS'!BQ76:BQ85))</f>
        <v>0</v>
      </c>
      <c r="AC21" s="460"/>
      <c r="AD21" s="460"/>
      <c r="AE21" s="461" t="s">
        <v>161</v>
      </c>
      <c r="AF21" s="472">
        <f>SUM(AG21:AZ21)</f>
        <v>28361824.94551716</v>
      </c>
      <c r="AG21" s="472">
        <f>-('Parametre - Agendové IS'!I76+NPV(Faktory!$D$5,'Parametre - Agendové IS'!I77:I85))</f>
        <v>1955987.9272770453</v>
      </c>
      <c r="AH21" s="472">
        <f>-('Parametre - Agendové IS'!L76+NPV(Faktory!$D$5,'Parametre - Agendové IS'!L77:L85))</f>
        <v>26405837.018240117</v>
      </c>
      <c r="AI21" s="472">
        <f>-('Parametre - Agendové IS'!O76+NPV(Faktory!$D$5,'Parametre - Agendové IS'!O77:O85))</f>
        <v>0</v>
      </c>
      <c r="AJ21" s="472">
        <f>-('Parametre - Agendové IS'!R76+NPV(Faktory!$D$5,'Parametre - Agendové IS'!R77:R85))</f>
        <v>0</v>
      </c>
      <c r="AK21" s="472">
        <f>-('Parametre - Agendové IS'!U76+NPV(Faktory!$D$5,'Parametre - Agendové IS'!U77:U85))</f>
        <v>0</v>
      </c>
      <c r="AL21" s="472">
        <f>-('Parametre - Agendové IS'!X76+NPV(Faktory!$D$5,'Parametre - Agendové IS'!X77:X85))</f>
        <v>0</v>
      </c>
      <c r="AM21" s="472">
        <f>-('Parametre - Agendové IS'!AA76+NPV(Faktory!$D$5,'Parametre - Agendové IS'!AA77:AA85))</f>
        <v>0</v>
      </c>
      <c r="AN21" s="472">
        <f>-('Parametre - Agendové IS'!AD76+NPV(Faktory!$D$5,'Parametre - Agendové IS'!AD77:AD85))</f>
        <v>0</v>
      </c>
      <c r="AO21" s="472">
        <f>-('Parametre - Agendové IS'!AG76+NPV(Faktory!$D$5,'Parametre - Agendové IS'!AG77:AG85))</f>
        <v>0</v>
      </c>
      <c r="AP21" s="472">
        <f>-('Parametre - Agendové IS'!AJ76+NPV(Faktory!$D$5,'Parametre - Agendové IS'!AJ77:AJ85))</f>
        <v>0</v>
      </c>
      <c r="AQ21" s="472">
        <f>-('Parametre - Agendové IS'!AM76+NPV(Faktory!$D$5,'Parametre - Agendové IS'!AM77:AM85))</f>
        <v>0</v>
      </c>
      <c r="AR21" s="472">
        <f>-('Parametre - Agendové IS'!AP76+NPV(Faktory!$D$5,'Parametre - Agendové IS'!AP77:AP85))</f>
        <v>0</v>
      </c>
      <c r="AS21" s="472">
        <f>-('Parametre - Agendové IS'!AS76+NPV(Faktory!$D$5,'Parametre - Agendové IS'!AS77:AS85))</f>
        <v>0</v>
      </c>
      <c r="AT21" s="472">
        <f>-('Parametre - Agendové IS'!AV76+NPV(Faktory!$D$5,'Parametre - Agendové IS'!AV77:AV85))</f>
        <v>0</v>
      </c>
      <c r="AU21" s="472">
        <f>-('Parametre - Agendové IS'!AY76+NPV(Faktory!$D$5,'Parametre - Agendové IS'!AY77:AY85))</f>
        <v>0</v>
      </c>
      <c r="AV21" s="472">
        <f>-('Parametre - Agendové IS'!BB76+NPV(Faktory!$D$5,'Parametre - Agendové IS'!BB77:BB85))</f>
        <v>0</v>
      </c>
      <c r="AW21" s="472">
        <f>-('Parametre - Agendové IS'!BE76+NPV(Faktory!$D$5,'Parametre - Agendové IS'!BE77:BE85))</f>
        <v>0</v>
      </c>
      <c r="AX21" s="472">
        <f>-('Parametre - Agendové IS'!BH76+NPV(Faktory!$D$5,'Parametre - Agendové IS'!BH77:BH85))</f>
        <v>0</v>
      </c>
      <c r="AY21" s="472">
        <f>-('Parametre - Agendové IS'!BK76+NPV(Faktory!$D$5,'Parametre - Agendové IS'!BK77:BK85))</f>
        <v>0</v>
      </c>
      <c r="AZ21" s="472">
        <f>-('Parametre - Agendové IS'!BN76+NPV(Faktory!$D$5,'Parametre - Agendové IS'!BN77:BN85))</f>
        <v>0</v>
      </c>
      <c r="BA21" s="472">
        <f>-('Parametre - Agendové IS'!BQ76+NPV(Faktory!$D$5,'Parametre - Agendové IS'!BQ77:BQ85))</f>
        <v>0</v>
      </c>
    </row>
    <row r="22" spans="1:53">
      <c r="A22" s="460"/>
      <c r="B22" s="460"/>
      <c r="C22" s="461" t="s">
        <v>163</v>
      </c>
      <c r="D22" s="475" t="s">
        <v>166</v>
      </c>
      <c r="E22" s="475" t="s">
        <v>166</v>
      </c>
      <c r="F22" s="475" t="s">
        <v>166</v>
      </c>
      <c r="G22" s="475" t="s">
        <v>166</v>
      </c>
      <c r="H22" s="475" t="s">
        <v>166</v>
      </c>
      <c r="I22" s="475" t="s">
        <v>166</v>
      </c>
      <c r="J22" s="475" t="s">
        <v>166</v>
      </c>
      <c r="K22" s="475" t="s">
        <v>166</v>
      </c>
      <c r="L22" s="475" t="s">
        <v>166</v>
      </c>
      <c r="M22" s="475" t="s">
        <v>166</v>
      </c>
      <c r="N22" s="475" t="s">
        <v>166</v>
      </c>
      <c r="O22" s="475" t="s">
        <v>166</v>
      </c>
      <c r="P22" s="475" t="s">
        <v>166</v>
      </c>
      <c r="Q22" s="475" t="s">
        <v>166</v>
      </c>
      <c r="R22" s="475" t="s">
        <v>166</v>
      </c>
      <c r="S22" s="475" t="s">
        <v>166</v>
      </c>
      <c r="T22" s="475" t="s">
        <v>166</v>
      </c>
      <c r="U22" s="475" t="s">
        <v>166</v>
      </c>
      <c r="V22" s="475" t="s">
        <v>166</v>
      </c>
      <c r="W22" s="475" t="s">
        <v>166</v>
      </c>
      <c r="X22" s="475" t="s">
        <v>166</v>
      </c>
      <c r="Y22" s="475" t="s">
        <v>166</v>
      </c>
      <c r="AC22" s="460"/>
      <c r="AD22" s="460"/>
      <c r="AE22" s="461" t="s">
        <v>163</v>
      </c>
      <c r="AF22" s="475" t="s">
        <v>166</v>
      </c>
      <c r="AG22" s="475" t="s">
        <v>166</v>
      </c>
      <c r="AH22" s="475" t="s">
        <v>166</v>
      </c>
      <c r="AI22" s="475" t="s">
        <v>166</v>
      </c>
      <c r="AJ22" s="475" t="s">
        <v>166</v>
      </c>
      <c r="AK22" s="475" t="s">
        <v>166</v>
      </c>
      <c r="AL22" s="475" t="s">
        <v>166</v>
      </c>
      <c r="AM22" s="475" t="s">
        <v>166</v>
      </c>
      <c r="AN22" s="475" t="s">
        <v>166</v>
      </c>
      <c r="AO22" s="475" t="s">
        <v>166</v>
      </c>
      <c r="AP22" s="475" t="s">
        <v>166</v>
      </c>
      <c r="AQ22" s="475" t="s">
        <v>166</v>
      </c>
      <c r="AR22" s="475" t="s">
        <v>166</v>
      </c>
      <c r="AS22" s="475" t="s">
        <v>166</v>
      </c>
      <c r="AT22" s="475" t="s">
        <v>166</v>
      </c>
      <c r="AU22" s="475" t="s">
        <v>166</v>
      </c>
      <c r="AV22" s="475" t="s">
        <v>166</v>
      </c>
      <c r="AW22" s="475" t="s">
        <v>166</v>
      </c>
      <c r="AX22" s="475" t="s">
        <v>166</v>
      </c>
      <c r="AY22" s="475" t="s">
        <v>166</v>
      </c>
      <c r="AZ22" s="475" t="s">
        <v>166</v>
      </c>
      <c r="BA22" s="475" t="s">
        <v>166</v>
      </c>
    </row>
    <row r="23" spans="1:53">
      <c r="A23" s="460"/>
      <c r="B23" s="460"/>
      <c r="C23" s="461" t="s">
        <v>39</v>
      </c>
      <c r="D23" s="477">
        <f>SUM(E23:X23)</f>
        <v>16661289</v>
      </c>
      <c r="E23" s="477">
        <f>SUM('Parametre - Agendové IS'!$O$126:$O$135)</f>
        <v>16661289</v>
      </c>
      <c r="F23" s="477">
        <f>SUM('Parametre - Agendové IS'!L126:L135)</f>
        <v>0</v>
      </c>
      <c r="G23" s="477">
        <f>SUM('Parametre - Agendové IS'!Q126:Q135)</f>
        <v>0</v>
      </c>
      <c r="H23" s="477">
        <f>SUM('Parametre - Agendové IS'!R126:R135)</f>
        <v>0</v>
      </c>
      <c r="I23" s="477">
        <f>SUM('Parametre - Agendové IS'!U126:U135)</f>
        <v>0</v>
      </c>
      <c r="J23" s="477">
        <f>SUM('Parametre - Agendové IS'!X126:X135)</f>
        <v>0</v>
      </c>
      <c r="K23" s="477">
        <f>SUM('Parametre - Agendové IS'!AA126:AA135)</f>
        <v>0</v>
      </c>
      <c r="L23" s="477">
        <f>SUM('Parametre - Agendové IS'!AD126:AD135)</f>
        <v>0</v>
      </c>
      <c r="M23" s="477">
        <f>SUM('Parametre - Agendové IS'!AG126:AG135)</f>
        <v>0</v>
      </c>
      <c r="N23" s="477">
        <f>SUM('Parametre - Agendové IS'!AJ126:AJ135)</f>
        <v>0</v>
      </c>
      <c r="O23" s="477">
        <f>SUM('Parametre - Agendové IS'!AM126:AM135)</f>
        <v>0</v>
      </c>
      <c r="P23" s="477">
        <f>SUM('Parametre - Agendové IS'!AP126:AP135)</f>
        <v>0</v>
      </c>
      <c r="Q23" s="477">
        <f>SUM('Parametre - Agendové IS'!AS126:AS135)</f>
        <v>0</v>
      </c>
      <c r="R23" s="477">
        <f>SUM('Parametre - Agendové IS'!AV126:AV135)</f>
        <v>0</v>
      </c>
      <c r="S23" s="477">
        <f>SUM('Parametre - Agendové IS'!AY126:AY135)</f>
        <v>0</v>
      </c>
      <c r="T23" s="477">
        <f>SUM('Parametre - Agendové IS'!BB126:BB135)</f>
        <v>0</v>
      </c>
      <c r="U23" s="477">
        <f>SUM('Parametre - Agendové IS'!BE126:BE135)</f>
        <v>0</v>
      </c>
      <c r="V23" s="477">
        <f>SUM('Parametre - Agendové IS'!BH126:BH135)</f>
        <v>0</v>
      </c>
      <c r="W23" s="477">
        <f>SUM('Parametre - Agendové IS'!BK126:BK135)</f>
        <v>0</v>
      </c>
      <c r="X23" s="477">
        <f>SUM('Parametre - Agendové IS'!BN126:BN135)</f>
        <v>0</v>
      </c>
      <c r="Y23" s="477">
        <f>SUM('Parametre - Agendové IS'!BQ126:BQ135)</f>
        <v>0</v>
      </c>
      <c r="AC23" s="460"/>
      <c r="AD23" s="460"/>
      <c r="AE23" s="461" t="s">
        <v>39</v>
      </c>
      <c r="AF23" s="472">
        <f>SUM(AG23:AZ23)</f>
        <v>13377317.016985709</v>
      </c>
      <c r="AG23" s="472">
        <f>'Parametre - Agendové IS'!I126+NPV(Faktory!$D$5,'Parametre - Agendové IS'!I127:I135)</f>
        <v>0</v>
      </c>
      <c r="AH23" s="472">
        <f>'Parametre - Agendové IS'!L126+NPV(Faktory!$D$5,'Parametre - Agendové IS'!L127:L135)</f>
        <v>0</v>
      </c>
      <c r="AI23" s="472">
        <f>'Parametre - Agendové IS'!O126+NPV(Faktory!$D$5,'Parametre - Agendové IS'!O127:O135)</f>
        <v>13377317.016985709</v>
      </c>
      <c r="AJ23" s="472">
        <f>'Parametre - Agendové IS'!R126+NPV(Faktory!$D$5,'Parametre - Agendové IS'!R127:R135)</f>
        <v>0</v>
      </c>
      <c r="AK23" s="472">
        <f>'Parametre - Agendové IS'!U126+NPV(Faktory!$D$5,'Parametre - Agendové IS'!U127:U135)</f>
        <v>0</v>
      </c>
      <c r="AL23" s="472">
        <f>'Parametre - Agendové IS'!X126+NPV(Faktory!$D$5,'Parametre - Agendové IS'!X127:X135)</f>
        <v>0</v>
      </c>
      <c r="AM23" s="472">
        <f>'Parametre - Agendové IS'!AA126+NPV(Faktory!$D$5,'Parametre - Agendové IS'!AA127:AA135)</f>
        <v>0</v>
      </c>
      <c r="AN23" s="472">
        <f>'Parametre - Agendové IS'!AD126+NPV(Faktory!$D$5,'Parametre - Agendové IS'!AD127:AD135)</f>
        <v>0</v>
      </c>
      <c r="AO23" s="472">
        <f>'Parametre - Agendové IS'!AG126+NPV(Faktory!$D$5,'Parametre - Agendové IS'!AG127:AG135)</f>
        <v>0</v>
      </c>
      <c r="AP23" s="472">
        <f>'Parametre - Agendové IS'!AJ126+NPV(Faktory!$D$5,'Parametre - Agendové IS'!AJ127:AJ135)</f>
        <v>0</v>
      </c>
      <c r="AQ23" s="472">
        <f>'Parametre - Agendové IS'!AM126+NPV(Faktory!$D$5,'Parametre - Agendové IS'!AM127:AM135)</f>
        <v>0</v>
      </c>
      <c r="AR23" s="472">
        <f>'Parametre - Agendové IS'!AP126+NPV(Faktory!$D$5,'Parametre - Agendové IS'!AP127:AP135)</f>
        <v>0</v>
      </c>
      <c r="AS23" s="472">
        <f>'Parametre - Agendové IS'!AS126+NPV(Faktory!$D$5,'Parametre - Agendové IS'!AS127:AS135)</f>
        <v>0</v>
      </c>
      <c r="AT23" s="472">
        <f>'Parametre - Agendové IS'!AV126+NPV(Faktory!$D$5,'Parametre - Agendové IS'!AV127:AV135)</f>
        <v>0</v>
      </c>
      <c r="AU23" s="472">
        <f>'Parametre - Agendové IS'!AY126+NPV(Faktory!$D$5,'Parametre - Agendové IS'!AY127:AY135)</f>
        <v>0</v>
      </c>
      <c r="AV23" s="472">
        <f>'Parametre - Agendové IS'!BB126+NPV(Faktory!$D$5,'Parametre - Agendové IS'!BB127:BB135)</f>
        <v>0</v>
      </c>
      <c r="AW23" s="472">
        <f>'Parametre - Agendové IS'!BE126+NPV(Faktory!$D$5,'Parametre - Agendové IS'!BE127:BE135)</f>
        <v>0</v>
      </c>
      <c r="AX23" s="472">
        <f>'Parametre - Agendové IS'!BH126+NPV(Faktory!$D$5,'Parametre - Agendové IS'!BH127:BH135)</f>
        <v>0</v>
      </c>
      <c r="AY23" s="472">
        <f>'Parametre - Agendové IS'!BK126+NPV(Faktory!$D$5,'Parametre - Agendové IS'!BK127:BK135)</f>
        <v>0</v>
      </c>
      <c r="AZ23" s="472">
        <f>'Parametre - Agendové IS'!BN126+NPV(Faktory!$D$5,'Parametre - Agendové IS'!BN127:BN135)</f>
        <v>0</v>
      </c>
      <c r="BA23" s="472">
        <f>'Parametre - Agendové IS'!BQ126+NPV(Faktory!$D$5,'Parametre - Agendové IS'!BQ127:BQ135)</f>
        <v>0</v>
      </c>
    </row>
    <row r="24" spans="1:53">
      <c r="A24" s="457"/>
      <c r="B24" s="458" t="s">
        <v>167</v>
      </c>
      <c r="C24" s="458"/>
      <c r="D24" s="464"/>
      <c r="E24" s="470"/>
      <c r="F24" s="471"/>
      <c r="G24" s="471"/>
      <c r="H24" s="471"/>
      <c r="I24" s="471"/>
      <c r="J24" s="470"/>
      <c r="K24" s="471"/>
      <c r="L24" s="471"/>
      <c r="M24" s="471"/>
      <c r="N24" s="470"/>
      <c r="O24" s="471"/>
      <c r="P24" s="471"/>
      <c r="Q24" s="471"/>
      <c r="R24" s="470"/>
      <c r="S24" s="471"/>
      <c r="T24" s="471"/>
      <c r="U24" s="471"/>
      <c r="V24" s="470"/>
      <c r="W24" s="471"/>
      <c r="X24" s="471"/>
      <c r="Y24" s="471"/>
      <c r="AC24" s="457"/>
      <c r="AD24" s="458" t="s">
        <v>167</v>
      </c>
      <c r="AE24" s="458"/>
      <c r="AF24" s="464"/>
      <c r="AG24" s="465"/>
      <c r="AH24" s="465"/>
      <c r="AI24" s="465"/>
      <c r="AJ24" s="465"/>
      <c r="AK24" s="464"/>
      <c r="AL24" s="465"/>
      <c r="AM24" s="465"/>
      <c r="AN24" s="465"/>
      <c r="AO24" s="464"/>
      <c r="AP24" s="465"/>
      <c r="AQ24" s="465"/>
      <c r="AR24" s="465"/>
      <c r="AS24" s="464"/>
      <c r="AT24" s="465"/>
      <c r="AU24" s="465"/>
      <c r="AV24" s="465"/>
      <c r="AW24" s="464"/>
      <c r="AX24" s="465"/>
      <c r="AY24" s="465"/>
      <c r="AZ24" s="465"/>
      <c r="BA24" s="464"/>
    </row>
    <row r="25" spans="1:53">
      <c r="A25" s="466"/>
      <c r="B25" s="466"/>
      <c r="C25" s="538" t="s">
        <v>169</v>
      </c>
      <c r="D25" s="467"/>
      <c r="E25" s="466"/>
      <c r="F25" s="466"/>
      <c r="G25" s="466"/>
      <c r="H25" s="466"/>
      <c r="I25" s="466"/>
      <c r="J25" s="466"/>
      <c r="K25" s="466"/>
      <c r="L25" s="466"/>
      <c r="M25" s="466"/>
      <c r="N25" s="466"/>
      <c r="O25" s="466"/>
      <c r="P25" s="466"/>
      <c r="Q25" s="466"/>
      <c r="R25" s="466"/>
      <c r="S25" s="466"/>
      <c r="T25" s="466"/>
      <c r="U25" s="466"/>
      <c r="V25" s="466"/>
      <c r="W25" s="466"/>
      <c r="X25" s="466"/>
      <c r="Y25" s="466"/>
      <c r="AC25" s="466"/>
      <c r="AD25" s="466"/>
      <c r="AE25" s="538" t="s">
        <v>169</v>
      </c>
      <c r="AF25" s="467"/>
      <c r="AG25" s="467"/>
      <c r="AH25" s="467"/>
      <c r="AI25" s="467"/>
      <c r="AJ25" s="467"/>
      <c r="AK25" s="467"/>
      <c r="AL25" s="467"/>
      <c r="AM25" s="467"/>
      <c r="AN25" s="467"/>
      <c r="AO25" s="467"/>
      <c r="AP25" s="467"/>
      <c r="AQ25" s="467"/>
      <c r="AR25" s="467"/>
      <c r="AS25" s="467"/>
      <c r="AT25" s="467"/>
      <c r="AU25" s="467"/>
      <c r="AV25" s="467"/>
      <c r="AW25" s="467"/>
      <c r="AX25" s="467"/>
      <c r="AY25" s="467"/>
      <c r="AZ25" s="467"/>
      <c r="BA25" s="467"/>
    </row>
    <row r="26" spans="1:53">
      <c r="A26" s="466"/>
      <c r="B26" s="466"/>
      <c r="C26" s="538" t="s">
        <v>168</v>
      </c>
      <c r="D26" s="467"/>
      <c r="E26" s="466"/>
      <c r="F26" s="466"/>
      <c r="G26" s="466"/>
      <c r="H26" s="466"/>
      <c r="I26" s="466"/>
      <c r="J26" s="466"/>
      <c r="K26" s="466"/>
      <c r="L26" s="466"/>
      <c r="M26" s="466"/>
      <c r="N26" s="466"/>
      <c r="O26" s="466"/>
      <c r="P26" s="466"/>
      <c r="Q26" s="466"/>
      <c r="R26" s="466"/>
      <c r="S26" s="466"/>
      <c r="T26" s="466"/>
      <c r="U26" s="466"/>
      <c r="V26" s="466"/>
      <c r="W26" s="466"/>
      <c r="X26" s="466"/>
      <c r="Y26" s="466"/>
      <c r="AC26" s="466"/>
      <c r="AD26" s="466"/>
      <c r="AE26" s="538" t="s">
        <v>168</v>
      </c>
      <c r="AF26" s="467"/>
      <c r="AG26" s="467"/>
      <c r="AH26" s="467"/>
      <c r="AI26" s="467"/>
      <c r="AJ26" s="467"/>
      <c r="AK26" s="467"/>
      <c r="AL26" s="467"/>
      <c r="AM26" s="467"/>
      <c r="AN26" s="467"/>
      <c r="AO26" s="467"/>
      <c r="AP26" s="467"/>
      <c r="AQ26" s="467"/>
      <c r="AR26" s="467"/>
      <c r="AS26" s="467"/>
      <c r="AT26" s="467"/>
      <c r="AU26" s="467"/>
      <c r="AV26" s="467"/>
      <c r="AW26" s="467"/>
      <c r="AX26" s="467"/>
      <c r="AY26" s="467"/>
      <c r="AZ26" s="467"/>
      <c r="BA26" s="467"/>
    </row>
    <row r="27" spans="1:53">
      <c r="A27" s="466"/>
      <c r="B27" s="466"/>
      <c r="C27" s="538" t="s">
        <v>168</v>
      </c>
      <c r="D27" s="467"/>
      <c r="E27" s="466"/>
      <c r="F27" s="466"/>
      <c r="G27" s="466"/>
      <c r="H27" s="466"/>
      <c r="I27" s="466"/>
      <c r="J27" s="466"/>
      <c r="K27" s="466"/>
      <c r="L27" s="466"/>
      <c r="M27" s="466"/>
      <c r="N27" s="466"/>
      <c r="O27" s="466"/>
      <c r="P27" s="466"/>
      <c r="Q27" s="466"/>
      <c r="R27" s="466"/>
      <c r="S27" s="466"/>
      <c r="T27" s="466"/>
      <c r="U27" s="466"/>
      <c r="V27" s="466"/>
      <c r="W27" s="466"/>
      <c r="X27" s="466"/>
      <c r="Y27" s="466"/>
      <c r="AC27" s="466"/>
      <c r="AD27" s="466"/>
      <c r="AE27" s="538" t="s">
        <v>168</v>
      </c>
      <c r="AF27" s="467"/>
      <c r="AG27" s="467"/>
      <c r="AH27" s="467"/>
      <c r="AI27" s="467"/>
      <c r="AJ27" s="467"/>
      <c r="AK27" s="467"/>
      <c r="AL27" s="467"/>
      <c r="AM27" s="467"/>
      <c r="AN27" s="467"/>
      <c r="AO27" s="467"/>
      <c r="AP27" s="467"/>
      <c r="AQ27" s="467"/>
      <c r="AR27" s="467"/>
      <c r="AS27" s="467"/>
      <c r="AT27" s="467"/>
      <c r="AU27" s="467"/>
      <c r="AV27" s="467"/>
      <c r="AW27" s="467"/>
      <c r="AX27" s="467"/>
      <c r="AY27" s="467"/>
      <c r="AZ27" s="467"/>
      <c r="BA27" s="467"/>
    </row>
  </sheetData>
  <sheetProtection insertColumns="0" insertRows="0" deleteColumns="0" deleteRows="0"/>
  <mergeCells count="2">
    <mergeCell ref="A2:C2"/>
    <mergeCell ref="AC2:AE2"/>
  </mergeCells>
  <conditionalFormatting sqref="E2:Y2">
    <cfRule type="cellIs" dxfId="32" priority="1" operator="equal">
      <formula>0</formula>
    </cfRule>
  </conditionalFormatting>
  <conditionalFormatting sqref="AG2:BA2">
    <cfRule type="cellIs" dxfId="31" priority="3" operator="equal">
      <formula>0</formula>
    </cfRule>
  </conditionalFormatting>
  <pageMargins left="0.7" right="0.7" top="0.75" bottom="0.75" header="0.3" footer="0.3"/>
  <pageSetup paperSize="9" scale="53" orientation="portrait" r:id="rId1"/>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árok20"/>
  <dimension ref="A1:AC70"/>
  <sheetViews>
    <sheetView view="pageBreakPreview" zoomScale="80" zoomScaleNormal="80" zoomScaleSheetLayoutView="80" workbookViewId="0">
      <selection activeCell="C39" sqref="C39"/>
    </sheetView>
  </sheetViews>
  <sheetFormatPr defaultColWidth="8.7109375" defaultRowHeight="15"/>
  <cols>
    <col min="1" max="1" width="21.42578125" customWidth="1"/>
    <col min="2" max="2" width="14.42578125" customWidth="1"/>
    <col min="3" max="3" width="14.28515625" style="197" customWidth="1"/>
    <col min="4" max="4" width="14.140625" style="197" customWidth="1"/>
    <col min="5" max="5" width="14.7109375" style="197" customWidth="1"/>
    <col min="6" max="6" width="11.7109375" style="197" customWidth="1"/>
    <col min="7" max="7" width="15.7109375" style="197" customWidth="1"/>
    <col min="8" max="8" width="13.42578125" style="197" customWidth="1"/>
    <col min="9" max="9" width="10" style="197" customWidth="1"/>
    <col min="10" max="28" width="8.42578125" style="197" customWidth="1"/>
  </cols>
  <sheetData>
    <row r="1" spans="1:29" ht="15.75" thickBot="1"/>
    <row r="2" spans="1:29" ht="48.75" customHeight="1" thickBot="1">
      <c r="A2" s="200" t="s">
        <v>173</v>
      </c>
      <c r="B2" s="217" t="s">
        <v>174</v>
      </c>
      <c r="C2" s="215" t="s">
        <v>175</v>
      </c>
      <c r="D2" s="201" t="s">
        <v>176</v>
      </c>
      <c r="E2" s="201" t="s">
        <v>177</v>
      </c>
      <c r="F2" s="222" t="s">
        <v>168</v>
      </c>
      <c r="G2" s="217" t="s">
        <v>178</v>
      </c>
      <c r="H2" s="226" t="s">
        <v>175</v>
      </c>
      <c r="I2" s="202" t="s">
        <v>168</v>
      </c>
      <c r="O2" s="203"/>
      <c r="P2" s="204"/>
      <c r="Q2" s="204"/>
      <c r="R2" s="97"/>
      <c r="S2" s="97"/>
      <c r="T2" s="97"/>
      <c r="U2" s="97"/>
      <c r="V2" s="97"/>
      <c r="W2" s="97"/>
      <c r="X2" s="97"/>
      <c r="Y2" s="204"/>
      <c r="Z2" s="204"/>
      <c r="AA2" s="97"/>
      <c r="AB2" s="97"/>
      <c r="AC2" s="97"/>
    </row>
    <row r="3" spans="1:29">
      <c r="A3" s="205" t="s">
        <v>127</v>
      </c>
      <c r="B3" s="218"/>
      <c r="C3" s="216"/>
      <c r="D3" s="212"/>
      <c r="E3" s="212"/>
      <c r="F3" s="223"/>
      <c r="G3" s="227"/>
      <c r="H3" s="216"/>
      <c r="I3" s="212"/>
      <c r="O3" s="206"/>
      <c r="P3"/>
      <c r="AC3" s="197"/>
    </row>
    <row r="4" spans="1:29">
      <c r="A4" s="207" t="s">
        <v>179</v>
      </c>
      <c r="B4" s="219" t="s">
        <v>180</v>
      </c>
      <c r="C4" s="214"/>
      <c r="D4" s="213"/>
      <c r="E4" s="213"/>
      <c r="F4" s="224"/>
      <c r="G4" s="220"/>
      <c r="H4" s="214"/>
      <c r="I4" s="213"/>
      <c r="O4" s="206"/>
      <c r="P4" s="208"/>
      <c r="AC4" s="197"/>
    </row>
    <row r="5" spans="1:29" ht="15.75" customHeight="1">
      <c r="A5" s="209" t="s">
        <v>181</v>
      </c>
      <c r="B5" s="220"/>
      <c r="C5" s="214"/>
      <c r="D5" s="213"/>
      <c r="E5" s="213"/>
      <c r="F5" s="224"/>
      <c r="G5" s="220"/>
      <c r="H5" s="214"/>
      <c r="I5" s="213"/>
      <c r="O5" s="206"/>
      <c r="AC5" s="197"/>
    </row>
    <row r="6" spans="1:29">
      <c r="A6" s="209" t="s">
        <v>182</v>
      </c>
      <c r="B6" s="220"/>
      <c r="C6" s="214"/>
      <c r="D6" s="213"/>
      <c r="E6" s="213"/>
      <c r="F6" s="224"/>
      <c r="G6" s="220"/>
      <c r="H6" s="214"/>
      <c r="I6" s="213"/>
      <c r="O6" s="206"/>
      <c r="AC6" s="197"/>
    </row>
    <row r="7" spans="1:29">
      <c r="A7" s="209" t="s">
        <v>183</v>
      </c>
      <c r="B7" s="220"/>
      <c r="C7" s="214"/>
      <c r="D7" s="213"/>
      <c r="E7" s="213"/>
      <c r="F7" s="224"/>
      <c r="G7" s="220"/>
      <c r="H7" s="214"/>
      <c r="I7" s="213"/>
      <c r="O7" s="206"/>
      <c r="AC7" s="197"/>
    </row>
    <row r="8" spans="1:29">
      <c r="A8" s="209" t="s">
        <v>184</v>
      </c>
      <c r="B8" s="220"/>
      <c r="C8" s="214"/>
      <c r="D8" s="213"/>
      <c r="E8" s="213"/>
      <c r="F8" s="224"/>
      <c r="G8" s="220"/>
      <c r="H8" s="214"/>
      <c r="I8" s="213"/>
      <c r="O8" s="206"/>
      <c r="AC8" s="197"/>
    </row>
    <row r="9" spans="1:29">
      <c r="A9" s="209" t="s">
        <v>185</v>
      </c>
      <c r="B9" s="220"/>
      <c r="C9" s="214"/>
      <c r="D9" s="213"/>
      <c r="E9" s="213"/>
      <c r="F9" s="224"/>
      <c r="G9" s="220"/>
      <c r="H9" s="214"/>
      <c r="I9" s="213"/>
      <c r="O9" s="206"/>
      <c r="AC9" s="197"/>
    </row>
    <row r="10" spans="1:29">
      <c r="A10" s="209" t="s">
        <v>186</v>
      </c>
      <c r="B10" s="220"/>
      <c r="C10" s="214"/>
      <c r="D10" s="213"/>
      <c r="E10" s="213"/>
      <c r="F10" s="224"/>
      <c r="G10" s="220"/>
      <c r="H10" s="214"/>
      <c r="I10" s="213"/>
      <c r="O10" s="206"/>
      <c r="AC10" s="197"/>
    </row>
    <row r="11" spans="1:29">
      <c r="A11" s="209" t="s">
        <v>187</v>
      </c>
      <c r="B11" s="220"/>
      <c r="C11" s="214"/>
      <c r="D11" s="213"/>
      <c r="E11" s="213"/>
      <c r="F11" s="224"/>
      <c r="G11" s="220"/>
      <c r="H11" s="214"/>
      <c r="I11" s="213"/>
      <c r="O11" s="206"/>
      <c r="AC11" s="197"/>
    </row>
    <row r="12" spans="1:29">
      <c r="A12" s="209" t="s">
        <v>188</v>
      </c>
      <c r="B12" s="220"/>
      <c r="C12" s="214"/>
      <c r="D12" s="213"/>
      <c r="E12" s="213"/>
      <c r="F12" s="224"/>
      <c r="G12" s="220"/>
      <c r="H12" s="214"/>
      <c r="I12" s="213"/>
      <c r="O12" s="206"/>
      <c r="AC12" s="197"/>
    </row>
    <row r="13" spans="1:29">
      <c r="A13" s="209" t="s">
        <v>189</v>
      </c>
      <c r="B13" s="220"/>
      <c r="C13" s="214"/>
      <c r="D13" s="213"/>
      <c r="E13" s="213"/>
      <c r="F13" s="224"/>
      <c r="G13" s="220"/>
      <c r="H13" s="214"/>
      <c r="I13" s="213"/>
      <c r="O13" s="206"/>
      <c r="AC13" s="197"/>
    </row>
    <row r="14" spans="1:29">
      <c r="A14" s="209" t="s">
        <v>190</v>
      </c>
      <c r="B14" s="220"/>
      <c r="C14" s="214"/>
      <c r="D14" s="213"/>
      <c r="E14" s="213"/>
      <c r="F14" s="224"/>
      <c r="G14" s="220"/>
      <c r="H14" s="214"/>
      <c r="I14" s="213"/>
      <c r="O14" s="206"/>
      <c r="AC14" s="197"/>
    </row>
    <row r="15" spans="1:29">
      <c r="A15" s="209" t="s">
        <v>191</v>
      </c>
      <c r="B15" s="220"/>
      <c r="C15" s="214"/>
      <c r="D15" s="213"/>
      <c r="E15" s="213"/>
      <c r="F15" s="224"/>
      <c r="G15" s="220"/>
      <c r="H15" s="214"/>
      <c r="I15" s="213"/>
      <c r="O15" s="206"/>
      <c r="AC15" s="197"/>
    </row>
    <row r="16" spans="1:29">
      <c r="A16" s="209" t="s">
        <v>192</v>
      </c>
      <c r="B16" s="220"/>
      <c r="C16" s="214"/>
      <c r="D16" s="213"/>
      <c r="E16" s="213"/>
      <c r="F16" s="224"/>
      <c r="G16" s="220"/>
      <c r="H16" s="214"/>
      <c r="I16" s="213"/>
      <c r="O16" s="206"/>
      <c r="AC16" s="197"/>
    </row>
    <row r="17" spans="1:29">
      <c r="A17" s="209" t="s">
        <v>193</v>
      </c>
      <c r="B17" s="220"/>
      <c r="C17" s="214"/>
      <c r="D17" s="213"/>
      <c r="E17" s="213"/>
      <c r="F17" s="224"/>
      <c r="G17" s="220"/>
      <c r="H17" s="214"/>
      <c r="I17" s="213"/>
      <c r="O17" s="206"/>
      <c r="AC17" s="197"/>
    </row>
    <row r="18" spans="1:29">
      <c r="A18" s="209" t="s">
        <v>194</v>
      </c>
      <c r="B18" s="220"/>
      <c r="C18" s="214"/>
      <c r="D18" s="213"/>
      <c r="E18" s="213"/>
      <c r="F18" s="224"/>
      <c r="G18" s="220"/>
      <c r="H18" s="214"/>
      <c r="I18" s="213"/>
      <c r="O18" s="206"/>
      <c r="AC18" s="197"/>
    </row>
    <row r="19" spans="1:29">
      <c r="A19" s="209" t="s">
        <v>195</v>
      </c>
      <c r="B19" s="220"/>
      <c r="C19" s="214"/>
      <c r="D19" s="213"/>
      <c r="E19" s="213"/>
      <c r="F19" s="224"/>
      <c r="G19" s="220"/>
      <c r="H19" s="214"/>
      <c r="I19" s="213"/>
      <c r="O19" s="206"/>
      <c r="AC19" s="197"/>
    </row>
    <row r="20" spans="1:29">
      <c r="A20" s="209" t="s">
        <v>196</v>
      </c>
      <c r="B20" s="220"/>
      <c r="C20" s="214"/>
      <c r="D20" s="213"/>
      <c r="E20" s="213"/>
      <c r="F20" s="224"/>
      <c r="G20" s="220"/>
      <c r="H20" s="214"/>
      <c r="I20" s="213"/>
      <c r="O20" s="206"/>
      <c r="AC20" s="197"/>
    </row>
    <row r="21" spans="1:29">
      <c r="A21" s="209" t="s">
        <v>197</v>
      </c>
      <c r="B21" s="220"/>
      <c r="C21" s="214"/>
      <c r="D21" s="213"/>
      <c r="E21" s="213"/>
      <c r="F21" s="224"/>
      <c r="G21" s="220"/>
      <c r="H21" s="214"/>
      <c r="I21" s="213"/>
      <c r="O21" s="206"/>
      <c r="AC21" s="197"/>
    </row>
    <row r="22" spans="1:29">
      <c r="A22" s="209" t="s">
        <v>198</v>
      </c>
      <c r="B22" s="220"/>
      <c r="C22" s="214"/>
      <c r="D22" s="213"/>
      <c r="E22" s="213"/>
      <c r="F22" s="224"/>
      <c r="G22" s="220"/>
      <c r="H22" s="214"/>
      <c r="I22" s="213"/>
      <c r="O22" s="206"/>
      <c r="AC22" s="197"/>
    </row>
    <row r="23" spans="1:29">
      <c r="A23" s="209" t="s">
        <v>199</v>
      </c>
      <c r="B23" s="220"/>
      <c r="C23" s="214"/>
      <c r="D23" s="213"/>
      <c r="E23" s="213"/>
      <c r="F23" s="224"/>
      <c r="G23" s="220"/>
      <c r="H23" s="214"/>
      <c r="I23" s="213"/>
      <c r="O23" s="206"/>
      <c r="AC23" s="197"/>
    </row>
    <row r="24" spans="1:29">
      <c r="A24" s="209" t="s">
        <v>200</v>
      </c>
      <c r="B24" s="220"/>
      <c r="C24" s="214"/>
      <c r="D24" s="213"/>
      <c r="E24" s="213"/>
      <c r="F24" s="224"/>
      <c r="G24" s="220"/>
      <c r="H24" s="214"/>
      <c r="I24" s="213"/>
      <c r="O24" s="206"/>
      <c r="AC24" s="197"/>
    </row>
    <row r="25" spans="1:29">
      <c r="A25" s="209" t="s">
        <v>201</v>
      </c>
      <c r="B25" s="220"/>
      <c r="C25" s="214"/>
      <c r="D25" s="213"/>
      <c r="E25" s="213"/>
      <c r="F25" s="224"/>
      <c r="G25" s="220"/>
      <c r="H25" s="214"/>
      <c r="I25" s="213"/>
      <c r="O25" s="206"/>
      <c r="AC25" s="197"/>
    </row>
    <row r="26" spans="1:29">
      <c r="A26" s="209" t="s">
        <v>202</v>
      </c>
      <c r="B26" s="220"/>
      <c r="C26" s="214"/>
      <c r="D26" s="213"/>
      <c r="E26" s="213"/>
      <c r="F26" s="224"/>
      <c r="G26" s="220"/>
      <c r="H26" s="214"/>
      <c r="I26" s="213"/>
      <c r="O26" s="206"/>
      <c r="AC26" s="197"/>
    </row>
    <row r="27" spans="1:29">
      <c r="A27" s="209" t="s">
        <v>203</v>
      </c>
      <c r="B27" s="220"/>
      <c r="C27" s="214"/>
      <c r="D27" s="213"/>
      <c r="E27" s="213"/>
      <c r="F27" s="224"/>
      <c r="G27" s="220"/>
      <c r="H27" s="214"/>
      <c r="I27" s="213"/>
      <c r="O27" s="206"/>
      <c r="AC27" s="197"/>
    </row>
    <row r="28" spans="1:29">
      <c r="A28" s="209" t="s">
        <v>204</v>
      </c>
      <c r="B28" s="220"/>
      <c r="C28" s="214"/>
      <c r="D28" s="213"/>
      <c r="E28" s="213"/>
      <c r="F28" s="224"/>
      <c r="G28" s="220"/>
      <c r="H28" s="214"/>
      <c r="I28" s="213"/>
      <c r="O28" s="206"/>
      <c r="AC28" s="197"/>
    </row>
    <row r="29" spans="1:29">
      <c r="A29" s="209" t="s">
        <v>205</v>
      </c>
      <c r="B29" s="220"/>
      <c r="C29" s="214"/>
      <c r="D29" s="213"/>
      <c r="E29" s="213"/>
      <c r="F29" s="224"/>
      <c r="G29" s="220"/>
      <c r="H29" s="214"/>
      <c r="I29" s="213"/>
      <c r="O29" s="206"/>
      <c r="AC29" s="197"/>
    </row>
    <row r="30" spans="1:29">
      <c r="A30" s="209" t="s">
        <v>206</v>
      </c>
      <c r="B30" s="220"/>
      <c r="C30" s="214"/>
      <c r="D30" s="213"/>
      <c r="E30" s="213"/>
      <c r="F30" s="224"/>
      <c r="G30" s="220"/>
      <c r="H30" s="214"/>
      <c r="I30" s="213"/>
      <c r="O30" s="206"/>
      <c r="AC30" s="197"/>
    </row>
    <row r="31" spans="1:29">
      <c r="A31" s="209" t="s">
        <v>207</v>
      </c>
      <c r="B31" s="220"/>
      <c r="C31" s="214"/>
      <c r="D31" s="213"/>
      <c r="E31" s="213"/>
      <c r="F31" s="224"/>
      <c r="G31" s="220"/>
      <c r="H31" s="214"/>
      <c r="I31" s="213"/>
      <c r="O31" s="206"/>
      <c r="AC31" s="197"/>
    </row>
    <row r="32" spans="1:29">
      <c r="A32" s="209" t="s">
        <v>208</v>
      </c>
      <c r="B32" s="220"/>
      <c r="C32" s="214"/>
      <c r="D32" s="213"/>
      <c r="E32" s="213"/>
      <c r="F32" s="224"/>
      <c r="G32" s="220"/>
      <c r="H32" s="214"/>
      <c r="I32" s="213"/>
      <c r="O32" s="206"/>
      <c r="AC32" s="197"/>
    </row>
    <row r="33" spans="1:29">
      <c r="A33" s="209" t="s">
        <v>209</v>
      </c>
      <c r="B33" s="220"/>
      <c r="C33" s="214"/>
      <c r="D33" s="213"/>
      <c r="E33" s="213"/>
      <c r="F33" s="224"/>
      <c r="G33" s="220"/>
      <c r="H33" s="214"/>
      <c r="I33" s="213"/>
      <c r="O33" s="206"/>
      <c r="AC33" s="197"/>
    </row>
    <row r="34" spans="1:29" ht="15.75" thickBot="1">
      <c r="A34" s="210" t="s">
        <v>210</v>
      </c>
      <c r="B34" s="221"/>
      <c r="C34" s="211"/>
      <c r="D34" s="194"/>
      <c r="E34" s="194"/>
      <c r="F34" s="225"/>
      <c r="G34" s="221"/>
      <c r="H34" s="211"/>
      <c r="I34" s="194"/>
      <c r="O34" s="206"/>
      <c r="P34"/>
      <c r="Q34"/>
      <c r="R34"/>
      <c r="S34"/>
      <c r="T34"/>
      <c r="U34"/>
      <c r="V34"/>
      <c r="W34"/>
      <c r="X34"/>
      <c r="Y34"/>
      <c r="Z34"/>
      <c r="AA34"/>
      <c r="AB34"/>
    </row>
    <row r="37" spans="1:29" ht="15.75" thickBot="1"/>
    <row r="38" spans="1:29" ht="45.75" thickBot="1">
      <c r="A38" s="200" t="s">
        <v>211</v>
      </c>
      <c r="B38" s="217" t="s">
        <v>174</v>
      </c>
      <c r="C38" s="215" t="s">
        <v>175</v>
      </c>
      <c r="D38" s="201" t="s">
        <v>176</v>
      </c>
      <c r="E38" s="201" t="s">
        <v>177</v>
      </c>
      <c r="F38" s="222" t="s">
        <v>168</v>
      </c>
      <c r="G38" s="217" t="s">
        <v>178</v>
      </c>
      <c r="H38" s="226" t="s">
        <v>175</v>
      </c>
      <c r="I38" s="202" t="s">
        <v>168</v>
      </c>
    </row>
    <row r="39" spans="1:29">
      <c r="A39" s="205" t="s">
        <v>127</v>
      </c>
      <c r="B39" s="218"/>
      <c r="C39" s="216"/>
      <c r="D39" s="212"/>
      <c r="E39" s="212"/>
      <c r="F39" s="223"/>
      <c r="G39" s="227"/>
      <c r="H39" s="216"/>
      <c r="I39" s="212"/>
    </row>
    <row r="40" spans="1:29">
      <c r="A40" s="207" t="s">
        <v>179</v>
      </c>
      <c r="B40" s="219" t="s">
        <v>180</v>
      </c>
      <c r="C40" s="214"/>
      <c r="D40" s="213"/>
      <c r="E40" s="213"/>
      <c r="F40" s="224"/>
      <c r="G40" s="220"/>
      <c r="H40" s="214"/>
      <c r="I40" s="213"/>
    </row>
    <row r="41" spans="1:29">
      <c r="A41" s="209" t="s">
        <v>181</v>
      </c>
      <c r="B41" s="220"/>
      <c r="C41" s="214"/>
      <c r="D41" s="213"/>
      <c r="E41" s="213"/>
      <c r="F41" s="224"/>
      <c r="G41" s="220"/>
      <c r="H41" s="214"/>
      <c r="I41" s="213"/>
    </row>
    <row r="42" spans="1:29">
      <c r="A42" s="209" t="s">
        <v>182</v>
      </c>
      <c r="B42" s="220"/>
      <c r="C42" s="214"/>
      <c r="D42" s="213"/>
      <c r="E42" s="213"/>
      <c r="F42" s="224"/>
      <c r="G42" s="220"/>
      <c r="H42" s="214"/>
      <c r="I42" s="213"/>
    </row>
    <row r="43" spans="1:29">
      <c r="A43" s="209" t="s">
        <v>183</v>
      </c>
      <c r="B43" s="220"/>
      <c r="C43" s="214"/>
      <c r="D43" s="213"/>
      <c r="E43" s="213"/>
      <c r="F43" s="224"/>
      <c r="G43" s="220"/>
      <c r="H43" s="214"/>
      <c r="I43" s="213"/>
    </row>
    <row r="44" spans="1:29">
      <c r="A44" s="209" t="s">
        <v>184</v>
      </c>
      <c r="B44" s="220"/>
      <c r="C44" s="214"/>
      <c r="D44" s="213"/>
      <c r="E44" s="213"/>
      <c r="F44" s="224"/>
      <c r="G44" s="220"/>
      <c r="H44" s="214"/>
      <c r="I44" s="213"/>
    </row>
    <row r="45" spans="1:29">
      <c r="A45" s="209" t="s">
        <v>185</v>
      </c>
      <c r="B45" s="220"/>
      <c r="C45" s="214"/>
      <c r="D45" s="213"/>
      <c r="E45" s="213"/>
      <c r="F45" s="224"/>
      <c r="G45" s="220"/>
      <c r="H45" s="214"/>
      <c r="I45" s="213"/>
    </row>
    <row r="46" spans="1:29">
      <c r="A46" s="209" t="s">
        <v>186</v>
      </c>
      <c r="B46" s="220"/>
      <c r="C46" s="214"/>
      <c r="D46" s="213"/>
      <c r="E46" s="213"/>
      <c r="F46" s="224"/>
      <c r="G46" s="220"/>
      <c r="H46" s="214"/>
      <c r="I46" s="213"/>
    </row>
    <row r="47" spans="1:29">
      <c r="A47" s="209" t="s">
        <v>187</v>
      </c>
      <c r="B47" s="220"/>
      <c r="C47" s="214"/>
      <c r="D47" s="213"/>
      <c r="E47" s="213"/>
      <c r="F47" s="224"/>
      <c r="G47" s="220"/>
      <c r="H47" s="214"/>
      <c r="I47" s="213"/>
    </row>
    <row r="48" spans="1:29">
      <c r="A48" s="209" t="s">
        <v>188</v>
      </c>
      <c r="B48" s="220"/>
      <c r="C48" s="214"/>
      <c r="D48" s="213"/>
      <c r="E48" s="213"/>
      <c r="F48" s="224"/>
      <c r="G48" s="220"/>
      <c r="H48" s="214"/>
      <c r="I48" s="213"/>
    </row>
    <row r="49" spans="1:9">
      <c r="A49" s="209" t="s">
        <v>189</v>
      </c>
      <c r="B49" s="220"/>
      <c r="C49" s="214"/>
      <c r="D49" s="213"/>
      <c r="E49" s="213"/>
      <c r="F49" s="224"/>
      <c r="G49" s="220"/>
      <c r="H49" s="214"/>
      <c r="I49" s="213"/>
    </row>
    <row r="50" spans="1:9">
      <c r="A50" s="209" t="s">
        <v>190</v>
      </c>
      <c r="B50" s="220"/>
      <c r="C50" s="214"/>
      <c r="D50" s="213"/>
      <c r="E50" s="213"/>
      <c r="F50" s="224"/>
      <c r="G50" s="220"/>
      <c r="H50" s="214"/>
      <c r="I50" s="213"/>
    </row>
    <row r="51" spans="1:9">
      <c r="A51" s="209" t="s">
        <v>191</v>
      </c>
      <c r="B51" s="220"/>
      <c r="C51" s="214"/>
      <c r="D51" s="213"/>
      <c r="E51" s="213"/>
      <c r="F51" s="224"/>
      <c r="G51" s="220"/>
      <c r="H51" s="214"/>
      <c r="I51" s="213"/>
    </row>
    <row r="52" spans="1:9">
      <c r="A52" s="209" t="s">
        <v>192</v>
      </c>
      <c r="B52" s="220"/>
      <c r="C52" s="214"/>
      <c r="D52" s="213"/>
      <c r="E52" s="213"/>
      <c r="F52" s="224"/>
      <c r="G52" s="220"/>
      <c r="H52" s="214"/>
      <c r="I52" s="213"/>
    </row>
    <row r="53" spans="1:9">
      <c r="A53" s="209" t="s">
        <v>193</v>
      </c>
      <c r="B53" s="220"/>
      <c r="C53" s="214"/>
      <c r="D53" s="213"/>
      <c r="E53" s="213"/>
      <c r="F53" s="224"/>
      <c r="G53" s="220"/>
      <c r="H53" s="214"/>
      <c r="I53" s="213"/>
    </row>
    <row r="54" spans="1:9">
      <c r="A54" s="209" t="s">
        <v>194</v>
      </c>
      <c r="B54" s="220"/>
      <c r="C54" s="214"/>
      <c r="D54" s="213"/>
      <c r="E54" s="213"/>
      <c r="F54" s="224"/>
      <c r="G54" s="220"/>
      <c r="H54" s="214"/>
      <c r="I54" s="213"/>
    </row>
    <row r="55" spans="1:9">
      <c r="A55" s="209" t="s">
        <v>195</v>
      </c>
      <c r="B55" s="220"/>
      <c r="C55" s="214"/>
      <c r="D55" s="213"/>
      <c r="E55" s="213"/>
      <c r="F55" s="224"/>
      <c r="G55" s="220"/>
      <c r="H55" s="214"/>
      <c r="I55" s="213"/>
    </row>
    <row r="56" spans="1:9">
      <c r="A56" s="209" t="s">
        <v>196</v>
      </c>
      <c r="B56" s="220"/>
      <c r="C56" s="214"/>
      <c r="D56" s="213"/>
      <c r="E56" s="213"/>
      <c r="F56" s="224"/>
      <c r="G56" s="220"/>
      <c r="H56" s="214"/>
      <c r="I56" s="213"/>
    </row>
    <row r="57" spans="1:9">
      <c r="A57" s="209" t="s">
        <v>197</v>
      </c>
      <c r="B57" s="220"/>
      <c r="C57" s="214"/>
      <c r="D57" s="213"/>
      <c r="E57" s="213"/>
      <c r="F57" s="224"/>
      <c r="G57" s="220"/>
      <c r="H57" s="214"/>
      <c r="I57" s="213"/>
    </row>
    <row r="58" spans="1:9">
      <c r="A58" s="209" t="s">
        <v>198</v>
      </c>
      <c r="B58" s="220"/>
      <c r="C58" s="214"/>
      <c r="D58" s="213"/>
      <c r="E58" s="213"/>
      <c r="F58" s="224"/>
      <c r="G58" s="220"/>
      <c r="H58" s="214"/>
      <c r="I58" s="213"/>
    </row>
    <row r="59" spans="1:9">
      <c r="A59" s="209" t="s">
        <v>199</v>
      </c>
      <c r="B59" s="220"/>
      <c r="C59" s="214"/>
      <c r="D59" s="213"/>
      <c r="E59" s="213"/>
      <c r="F59" s="224"/>
      <c r="G59" s="220"/>
      <c r="H59" s="214"/>
      <c r="I59" s="213"/>
    </row>
    <row r="60" spans="1:9">
      <c r="A60" s="209" t="s">
        <v>200</v>
      </c>
      <c r="B60" s="220"/>
      <c r="C60" s="214"/>
      <c r="D60" s="213"/>
      <c r="E60" s="213"/>
      <c r="F60" s="224"/>
      <c r="G60" s="220"/>
      <c r="H60" s="214"/>
      <c r="I60" s="213"/>
    </row>
    <row r="61" spans="1:9">
      <c r="A61" s="209" t="s">
        <v>201</v>
      </c>
      <c r="B61" s="220"/>
      <c r="C61" s="214"/>
      <c r="D61" s="213"/>
      <c r="E61" s="213"/>
      <c r="F61" s="224"/>
      <c r="G61" s="220"/>
      <c r="H61" s="214"/>
      <c r="I61" s="213"/>
    </row>
    <row r="62" spans="1:9">
      <c r="A62" s="209" t="s">
        <v>202</v>
      </c>
      <c r="B62" s="220"/>
      <c r="C62" s="214"/>
      <c r="D62" s="213"/>
      <c r="E62" s="213"/>
      <c r="F62" s="224"/>
      <c r="G62" s="220"/>
      <c r="H62" s="214"/>
      <c r="I62" s="213"/>
    </row>
    <row r="63" spans="1:9">
      <c r="A63" s="209" t="s">
        <v>203</v>
      </c>
      <c r="B63" s="220"/>
      <c r="C63" s="214"/>
      <c r="D63" s="213"/>
      <c r="E63" s="213"/>
      <c r="F63" s="224"/>
      <c r="G63" s="220"/>
      <c r="H63" s="214"/>
      <c r="I63" s="213"/>
    </row>
    <row r="64" spans="1:9">
      <c r="A64" s="209" t="s">
        <v>204</v>
      </c>
      <c r="B64" s="220"/>
      <c r="C64" s="214"/>
      <c r="D64" s="213"/>
      <c r="E64" s="213"/>
      <c r="F64" s="224"/>
      <c r="G64" s="220"/>
      <c r="H64" s="214"/>
      <c r="I64" s="213"/>
    </row>
    <row r="65" spans="1:9">
      <c r="A65" s="209" t="s">
        <v>205</v>
      </c>
      <c r="B65" s="220"/>
      <c r="C65" s="214"/>
      <c r="D65" s="213"/>
      <c r="E65" s="213"/>
      <c r="F65" s="224"/>
      <c r="G65" s="220"/>
      <c r="H65" s="214"/>
      <c r="I65" s="213"/>
    </row>
    <row r="66" spans="1:9">
      <c r="A66" s="209" t="s">
        <v>206</v>
      </c>
      <c r="B66" s="220"/>
      <c r="C66" s="214"/>
      <c r="D66" s="213"/>
      <c r="E66" s="213"/>
      <c r="F66" s="224"/>
      <c r="G66" s="220"/>
      <c r="H66" s="214"/>
      <c r="I66" s="213"/>
    </row>
    <row r="67" spans="1:9">
      <c r="A67" s="209" t="s">
        <v>207</v>
      </c>
      <c r="B67" s="220"/>
      <c r="C67" s="214"/>
      <c r="D67" s="213"/>
      <c r="E67" s="213"/>
      <c r="F67" s="224"/>
      <c r="G67" s="220"/>
      <c r="H67" s="214"/>
      <c r="I67" s="213"/>
    </row>
    <row r="68" spans="1:9">
      <c r="A68" s="209" t="s">
        <v>208</v>
      </c>
      <c r="B68" s="220"/>
      <c r="C68" s="214"/>
      <c r="D68" s="213"/>
      <c r="E68" s="213"/>
      <c r="F68" s="224"/>
      <c r="G68" s="220"/>
      <c r="H68" s="214"/>
      <c r="I68" s="213"/>
    </row>
    <row r="69" spans="1:9">
      <c r="A69" s="209" t="s">
        <v>209</v>
      </c>
      <c r="B69" s="220"/>
      <c r="C69" s="214"/>
      <c r="D69" s="213"/>
      <c r="E69" s="213"/>
      <c r="F69" s="224"/>
      <c r="G69" s="220"/>
      <c r="H69" s="214"/>
      <c r="I69" s="213"/>
    </row>
    <row r="70" spans="1:9" ht="15.75" thickBot="1">
      <c r="A70" s="210" t="s">
        <v>210</v>
      </c>
      <c r="B70" s="221"/>
      <c r="C70" s="211"/>
      <c r="D70" s="194"/>
      <c r="E70" s="194"/>
      <c r="F70" s="225"/>
      <c r="G70" s="221"/>
      <c r="H70" s="211"/>
      <c r="I70" s="194"/>
    </row>
  </sheetData>
  <pageMargins left="0.7" right="0.7" top="0.75" bottom="0.75" header="0.3" footer="0.3"/>
  <pageSetup paperSize="9" scale="67"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árok21"/>
  <dimension ref="A1:AC70"/>
  <sheetViews>
    <sheetView view="pageBreakPreview" zoomScale="60" zoomScaleNormal="100" workbookViewId="0">
      <selection activeCell="Q35" sqref="Q35"/>
    </sheetView>
  </sheetViews>
  <sheetFormatPr defaultColWidth="8.7109375" defaultRowHeight="15"/>
  <cols>
    <col min="1" max="1" width="21.42578125" customWidth="1"/>
    <col min="2" max="2" width="14.42578125" customWidth="1"/>
    <col min="3" max="3" width="14.28515625" style="197" customWidth="1"/>
    <col min="4" max="4" width="14.140625" style="197" customWidth="1"/>
    <col min="5" max="5" width="14.7109375" style="197" customWidth="1"/>
    <col min="6" max="6" width="11.7109375" style="197" customWidth="1"/>
    <col min="7" max="7" width="15.7109375" style="197" customWidth="1"/>
    <col min="8" max="8" width="13.42578125" style="197" customWidth="1"/>
    <col min="9" max="28" width="8.42578125" style="197" customWidth="1"/>
  </cols>
  <sheetData>
    <row r="1" spans="1:29" ht="15.75" thickBot="1"/>
    <row r="2" spans="1:29" ht="48.75" customHeight="1" thickBot="1">
      <c r="A2" s="200" t="s">
        <v>173</v>
      </c>
      <c r="B2" s="217" t="s">
        <v>174</v>
      </c>
      <c r="C2" s="215" t="s">
        <v>175</v>
      </c>
      <c r="D2" s="201" t="s">
        <v>176</v>
      </c>
      <c r="E2" s="201" t="s">
        <v>177</v>
      </c>
      <c r="F2" s="222" t="s">
        <v>168</v>
      </c>
      <c r="G2" s="217" t="s">
        <v>178</v>
      </c>
      <c r="H2" s="226" t="s">
        <v>175</v>
      </c>
      <c r="I2" s="202" t="s">
        <v>168</v>
      </c>
      <c r="O2" s="203"/>
      <c r="P2" s="204"/>
      <c r="Q2" s="204"/>
      <c r="R2" s="97"/>
      <c r="S2" s="97"/>
      <c r="T2" s="97"/>
      <c r="U2" s="97"/>
      <c r="V2" s="97"/>
      <c r="W2" s="97"/>
      <c r="X2" s="97"/>
      <c r="Y2" s="204"/>
      <c r="Z2" s="204"/>
      <c r="AA2" s="97"/>
      <c r="AB2" s="97"/>
      <c r="AC2" s="97"/>
    </row>
    <row r="3" spans="1:29">
      <c r="A3" s="205" t="s">
        <v>127</v>
      </c>
      <c r="B3" s="218"/>
      <c r="C3" s="216"/>
      <c r="D3" s="212"/>
      <c r="E3" s="212"/>
      <c r="F3" s="223"/>
      <c r="G3" s="227"/>
      <c r="H3" s="216"/>
      <c r="I3" s="212"/>
      <c r="O3" s="206"/>
      <c r="P3"/>
      <c r="AC3" s="197"/>
    </row>
    <row r="4" spans="1:29">
      <c r="A4" s="207" t="s">
        <v>179</v>
      </c>
      <c r="B4" s="219" t="s">
        <v>180</v>
      </c>
      <c r="C4" s="214"/>
      <c r="D4" s="213"/>
      <c r="E4" s="213"/>
      <c r="F4" s="224"/>
      <c r="G4" s="220"/>
      <c r="H4" s="214"/>
      <c r="I4" s="213"/>
      <c r="O4" s="206"/>
      <c r="P4" s="208"/>
      <c r="AC4" s="197"/>
    </row>
    <row r="5" spans="1:29" ht="15.75" customHeight="1">
      <c r="A5" s="209" t="s">
        <v>181</v>
      </c>
      <c r="B5" s="220"/>
      <c r="C5" s="214"/>
      <c r="D5" s="213"/>
      <c r="E5" s="213"/>
      <c r="F5" s="224"/>
      <c r="G5" s="220"/>
      <c r="H5" s="214"/>
      <c r="I5" s="213"/>
      <c r="O5" s="206"/>
      <c r="AC5" s="197"/>
    </row>
    <row r="6" spans="1:29">
      <c r="A6" s="209" t="s">
        <v>182</v>
      </c>
      <c r="B6" s="220"/>
      <c r="C6" s="214"/>
      <c r="D6" s="213"/>
      <c r="E6" s="213"/>
      <c r="F6" s="224"/>
      <c r="G6" s="220"/>
      <c r="H6" s="214"/>
      <c r="I6" s="213"/>
      <c r="O6" s="206"/>
      <c r="AC6" s="197"/>
    </row>
    <row r="7" spans="1:29">
      <c r="A7" s="209" t="s">
        <v>183</v>
      </c>
      <c r="B7" s="220"/>
      <c r="C7" s="214"/>
      <c r="D7" s="213"/>
      <c r="E7" s="213"/>
      <c r="F7" s="224"/>
      <c r="G7" s="220"/>
      <c r="H7" s="214"/>
      <c r="I7" s="213"/>
      <c r="O7" s="206"/>
      <c r="AC7" s="197"/>
    </row>
    <row r="8" spans="1:29">
      <c r="A8" s="209" t="s">
        <v>184</v>
      </c>
      <c r="B8" s="220"/>
      <c r="C8" s="214"/>
      <c r="D8" s="213"/>
      <c r="E8" s="213"/>
      <c r="F8" s="224"/>
      <c r="G8" s="220"/>
      <c r="H8" s="214"/>
      <c r="I8" s="213"/>
      <c r="O8" s="206"/>
      <c r="AC8" s="197"/>
    </row>
    <row r="9" spans="1:29">
      <c r="A9" s="209" t="s">
        <v>185</v>
      </c>
      <c r="B9" s="220"/>
      <c r="C9" s="214"/>
      <c r="D9" s="213"/>
      <c r="E9" s="213"/>
      <c r="F9" s="224"/>
      <c r="G9" s="220"/>
      <c r="H9" s="214"/>
      <c r="I9" s="213"/>
      <c r="O9" s="206"/>
      <c r="AC9" s="197"/>
    </row>
    <row r="10" spans="1:29">
      <c r="A10" s="209" t="s">
        <v>186</v>
      </c>
      <c r="B10" s="220"/>
      <c r="C10" s="214"/>
      <c r="D10" s="213"/>
      <c r="E10" s="213"/>
      <c r="F10" s="224"/>
      <c r="G10" s="220"/>
      <c r="H10" s="214"/>
      <c r="I10" s="213"/>
      <c r="O10" s="206"/>
      <c r="AC10" s="197"/>
    </row>
    <row r="11" spans="1:29">
      <c r="A11" s="209" t="s">
        <v>187</v>
      </c>
      <c r="B11" s="220"/>
      <c r="C11" s="214"/>
      <c r="D11" s="213"/>
      <c r="E11" s="213"/>
      <c r="F11" s="224"/>
      <c r="G11" s="220"/>
      <c r="H11" s="214"/>
      <c r="I11" s="213"/>
      <c r="O11" s="206"/>
      <c r="AC11" s="197"/>
    </row>
    <row r="12" spans="1:29">
      <c r="A12" s="209" t="s">
        <v>188</v>
      </c>
      <c r="B12" s="220"/>
      <c r="C12" s="214"/>
      <c r="D12" s="213"/>
      <c r="E12" s="213"/>
      <c r="F12" s="224"/>
      <c r="G12" s="220"/>
      <c r="H12" s="214"/>
      <c r="I12" s="213"/>
      <c r="O12" s="206"/>
      <c r="AC12" s="197"/>
    </row>
    <row r="13" spans="1:29">
      <c r="A13" s="209" t="s">
        <v>189</v>
      </c>
      <c r="B13" s="220"/>
      <c r="C13" s="214"/>
      <c r="D13" s="213"/>
      <c r="E13" s="213"/>
      <c r="F13" s="224"/>
      <c r="G13" s="220"/>
      <c r="H13" s="214"/>
      <c r="I13" s="213"/>
      <c r="O13" s="206"/>
      <c r="AC13" s="197"/>
    </row>
    <row r="14" spans="1:29">
      <c r="A14" s="209" t="s">
        <v>190</v>
      </c>
      <c r="B14" s="220"/>
      <c r="C14" s="214"/>
      <c r="D14" s="213"/>
      <c r="E14" s="213"/>
      <c r="F14" s="224"/>
      <c r="G14" s="220"/>
      <c r="H14" s="214"/>
      <c r="I14" s="213"/>
      <c r="O14" s="206"/>
      <c r="AC14" s="197"/>
    </row>
    <row r="15" spans="1:29">
      <c r="A15" s="209" t="s">
        <v>191</v>
      </c>
      <c r="B15" s="220"/>
      <c r="C15" s="214"/>
      <c r="D15" s="213"/>
      <c r="E15" s="213"/>
      <c r="F15" s="224"/>
      <c r="G15" s="220"/>
      <c r="H15" s="214"/>
      <c r="I15" s="213"/>
      <c r="O15" s="206"/>
      <c r="AC15" s="197"/>
    </row>
    <row r="16" spans="1:29">
      <c r="A16" s="209" t="s">
        <v>192</v>
      </c>
      <c r="B16" s="220"/>
      <c r="C16" s="214"/>
      <c r="D16" s="213"/>
      <c r="E16" s="213"/>
      <c r="F16" s="224"/>
      <c r="G16" s="220"/>
      <c r="H16" s="214"/>
      <c r="I16" s="213"/>
      <c r="O16" s="206"/>
      <c r="AC16" s="197"/>
    </row>
    <row r="17" spans="1:29">
      <c r="A17" s="209" t="s">
        <v>193</v>
      </c>
      <c r="B17" s="220"/>
      <c r="C17" s="214"/>
      <c r="D17" s="213"/>
      <c r="E17" s="213"/>
      <c r="F17" s="224"/>
      <c r="G17" s="220"/>
      <c r="H17" s="214"/>
      <c r="I17" s="213"/>
      <c r="O17" s="206"/>
      <c r="AC17" s="197"/>
    </row>
    <row r="18" spans="1:29">
      <c r="A18" s="209" t="s">
        <v>194</v>
      </c>
      <c r="B18" s="220"/>
      <c r="C18" s="214"/>
      <c r="D18" s="213"/>
      <c r="E18" s="213"/>
      <c r="F18" s="224"/>
      <c r="G18" s="220"/>
      <c r="H18" s="214"/>
      <c r="I18" s="213"/>
      <c r="O18" s="206"/>
      <c r="AC18" s="197"/>
    </row>
    <row r="19" spans="1:29">
      <c r="A19" s="209" t="s">
        <v>195</v>
      </c>
      <c r="B19" s="220"/>
      <c r="C19" s="214"/>
      <c r="D19" s="213"/>
      <c r="E19" s="213"/>
      <c r="F19" s="224"/>
      <c r="G19" s="220"/>
      <c r="H19" s="214"/>
      <c r="I19" s="213"/>
      <c r="O19" s="206"/>
      <c r="AC19" s="197"/>
    </row>
    <row r="20" spans="1:29">
      <c r="A20" s="209" t="s">
        <v>196</v>
      </c>
      <c r="B20" s="220"/>
      <c r="C20" s="214"/>
      <c r="D20" s="213"/>
      <c r="E20" s="213"/>
      <c r="F20" s="224"/>
      <c r="G20" s="220"/>
      <c r="H20" s="214"/>
      <c r="I20" s="213"/>
      <c r="O20" s="206"/>
      <c r="AC20" s="197"/>
    </row>
    <row r="21" spans="1:29">
      <c r="A21" s="209" t="s">
        <v>197</v>
      </c>
      <c r="B21" s="220"/>
      <c r="C21" s="214"/>
      <c r="D21" s="213"/>
      <c r="E21" s="213"/>
      <c r="F21" s="224"/>
      <c r="G21" s="220"/>
      <c r="H21" s="214"/>
      <c r="I21" s="213"/>
      <c r="O21" s="206"/>
      <c r="AC21" s="197"/>
    </row>
    <row r="22" spans="1:29">
      <c r="A22" s="209" t="s">
        <v>198</v>
      </c>
      <c r="B22" s="220"/>
      <c r="C22" s="214"/>
      <c r="D22" s="213"/>
      <c r="E22" s="213"/>
      <c r="F22" s="224"/>
      <c r="G22" s="220"/>
      <c r="H22" s="214"/>
      <c r="I22" s="213"/>
      <c r="O22" s="206"/>
      <c r="AC22" s="197"/>
    </row>
    <row r="23" spans="1:29">
      <c r="A23" s="209" t="s">
        <v>199</v>
      </c>
      <c r="B23" s="220"/>
      <c r="C23" s="214"/>
      <c r="D23" s="213"/>
      <c r="E23" s="213"/>
      <c r="F23" s="224"/>
      <c r="G23" s="220"/>
      <c r="H23" s="214"/>
      <c r="I23" s="213"/>
      <c r="O23" s="206"/>
      <c r="AC23" s="197"/>
    </row>
    <row r="24" spans="1:29">
      <c r="A24" s="209" t="s">
        <v>200</v>
      </c>
      <c r="B24" s="220"/>
      <c r="C24" s="214"/>
      <c r="D24" s="213"/>
      <c r="E24" s="213"/>
      <c r="F24" s="224"/>
      <c r="G24" s="220"/>
      <c r="H24" s="214"/>
      <c r="I24" s="213"/>
      <c r="O24" s="206"/>
      <c r="AC24" s="197"/>
    </row>
    <row r="25" spans="1:29">
      <c r="A25" s="209" t="s">
        <v>201</v>
      </c>
      <c r="B25" s="220"/>
      <c r="C25" s="214"/>
      <c r="D25" s="213"/>
      <c r="E25" s="213"/>
      <c r="F25" s="224"/>
      <c r="G25" s="220"/>
      <c r="H25" s="214"/>
      <c r="I25" s="213"/>
      <c r="O25" s="206"/>
      <c r="AC25" s="197"/>
    </row>
    <row r="26" spans="1:29">
      <c r="A26" s="209" t="s">
        <v>202</v>
      </c>
      <c r="B26" s="220"/>
      <c r="C26" s="214"/>
      <c r="D26" s="213"/>
      <c r="E26" s="213"/>
      <c r="F26" s="224"/>
      <c r="G26" s="220"/>
      <c r="H26" s="214"/>
      <c r="I26" s="213"/>
      <c r="O26" s="206"/>
      <c r="AC26" s="197"/>
    </row>
    <row r="27" spans="1:29">
      <c r="A27" s="209" t="s">
        <v>203</v>
      </c>
      <c r="B27" s="220"/>
      <c r="C27" s="214"/>
      <c r="D27" s="213"/>
      <c r="E27" s="213"/>
      <c r="F27" s="224"/>
      <c r="G27" s="220"/>
      <c r="H27" s="214"/>
      <c r="I27" s="213"/>
      <c r="O27" s="206"/>
      <c r="AC27" s="197"/>
    </row>
    <row r="28" spans="1:29">
      <c r="A28" s="209" t="s">
        <v>204</v>
      </c>
      <c r="B28" s="220"/>
      <c r="C28" s="214"/>
      <c r="D28" s="213"/>
      <c r="E28" s="213"/>
      <c r="F28" s="224"/>
      <c r="G28" s="220"/>
      <c r="H28" s="214"/>
      <c r="I28" s="213"/>
      <c r="O28" s="206"/>
      <c r="AC28" s="197"/>
    </row>
    <row r="29" spans="1:29">
      <c r="A29" s="209" t="s">
        <v>205</v>
      </c>
      <c r="B29" s="220"/>
      <c r="C29" s="214"/>
      <c r="D29" s="213"/>
      <c r="E29" s="213"/>
      <c r="F29" s="224"/>
      <c r="G29" s="220"/>
      <c r="H29" s="214"/>
      <c r="I29" s="213"/>
      <c r="O29" s="206"/>
      <c r="AC29" s="197"/>
    </row>
    <row r="30" spans="1:29">
      <c r="A30" s="209" t="s">
        <v>206</v>
      </c>
      <c r="B30" s="220"/>
      <c r="C30" s="214"/>
      <c r="D30" s="213"/>
      <c r="E30" s="213"/>
      <c r="F30" s="224"/>
      <c r="G30" s="220"/>
      <c r="H30" s="214"/>
      <c r="I30" s="213"/>
      <c r="O30" s="206"/>
      <c r="AC30" s="197"/>
    </row>
    <row r="31" spans="1:29">
      <c r="A31" s="209" t="s">
        <v>207</v>
      </c>
      <c r="B31" s="220"/>
      <c r="C31" s="214"/>
      <c r="D31" s="213"/>
      <c r="E31" s="213"/>
      <c r="F31" s="224"/>
      <c r="G31" s="220"/>
      <c r="H31" s="214"/>
      <c r="I31" s="213"/>
      <c r="O31" s="206"/>
      <c r="AC31" s="197"/>
    </row>
    <row r="32" spans="1:29">
      <c r="A32" s="209" t="s">
        <v>208</v>
      </c>
      <c r="B32" s="220"/>
      <c r="C32" s="214"/>
      <c r="D32" s="213"/>
      <c r="E32" s="213"/>
      <c r="F32" s="224"/>
      <c r="G32" s="220"/>
      <c r="H32" s="214"/>
      <c r="I32" s="213"/>
      <c r="O32" s="206"/>
      <c r="AC32" s="197"/>
    </row>
    <row r="33" spans="1:29">
      <c r="A33" s="209" t="s">
        <v>209</v>
      </c>
      <c r="B33" s="220"/>
      <c r="C33" s="214"/>
      <c r="D33" s="213"/>
      <c r="E33" s="213"/>
      <c r="F33" s="224"/>
      <c r="G33" s="220"/>
      <c r="H33" s="214"/>
      <c r="I33" s="213"/>
      <c r="O33" s="206"/>
      <c r="AC33" s="197"/>
    </row>
    <row r="34" spans="1:29" ht="15.75" thickBot="1">
      <c r="A34" s="210" t="s">
        <v>210</v>
      </c>
      <c r="B34" s="221"/>
      <c r="C34" s="211"/>
      <c r="D34" s="194"/>
      <c r="E34" s="194"/>
      <c r="F34" s="225"/>
      <c r="G34" s="221"/>
      <c r="H34" s="211"/>
      <c r="I34" s="194"/>
      <c r="O34" s="206"/>
      <c r="P34"/>
      <c r="Q34"/>
      <c r="R34"/>
      <c r="S34"/>
      <c r="T34"/>
      <c r="U34"/>
      <c r="V34"/>
      <c r="W34"/>
      <c r="X34"/>
      <c r="Y34"/>
      <c r="Z34"/>
      <c r="AA34"/>
      <c r="AB34"/>
    </row>
    <row r="37" spans="1:29" ht="15.75" thickBot="1"/>
    <row r="38" spans="1:29" ht="45.75" thickBot="1">
      <c r="A38" s="200" t="s">
        <v>211</v>
      </c>
      <c r="B38" s="217" t="s">
        <v>174</v>
      </c>
      <c r="C38" s="215" t="s">
        <v>175</v>
      </c>
      <c r="D38" s="201" t="s">
        <v>176</v>
      </c>
      <c r="E38" s="201" t="s">
        <v>177</v>
      </c>
      <c r="F38" s="222" t="s">
        <v>168</v>
      </c>
      <c r="G38" s="217" t="s">
        <v>178</v>
      </c>
      <c r="H38" s="226" t="s">
        <v>175</v>
      </c>
      <c r="I38" s="202" t="s">
        <v>168</v>
      </c>
    </row>
    <row r="39" spans="1:29">
      <c r="A39" s="205" t="s">
        <v>127</v>
      </c>
      <c r="B39" s="218"/>
      <c r="C39" s="216"/>
      <c r="D39" s="212"/>
      <c r="E39" s="212"/>
      <c r="F39" s="223"/>
      <c r="G39" s="227"/>
      <c r="H39" s="216"/>
      <c r="I39" s="212"/>
    </row>
    <row r="40" spans="1:29">
      <c r="A40" s="207" t="s">
        <v>179</v>
      </c>
      <c r="B40" s="219" t="s">
        <v>180</v>
      </c>
      <c r="C40" s="214"/>
      <c r="D40" s="213"/>
      <c r="E40" s="213"/>
      <c r="F40" s="224"/>
      <c r="G40" s="220"/>
      <c r="H40" s="214"/>
      <c r="I40" s="213"/>
    </row>
    <row r="41" spans="1:29">
      <c r="A41" s="209" t="s">
        <v>181</v>
      </c>
      <c r="B41" s="220"/>
      <c r="C41" s="214"/>
      <c r="D41" s="213"/>
      <c r="E41" s="213"/>
      <c r="F41" s="224"/>
      <c r="G41" s="220"/>
      <c r="H41" s="214"/>
      <c r="I41" s="213"/>
    </row>
    <row r="42" spans="1:29">
      <c r="A42" s="209" t="s">
        <v>182</v>
      </c>
      <c r="B42" s="220"/>
      <c r="C42" s="214"/>
      <c r="D42" s="213"/>
      <c r="E42" s="213"/>
      <c r="F42" s="224"/>
      <c r="G42" s="220"/>
      <c r="H42" s="214"/>
      <c r="I42" s="213"/>
    </row>
    <row r="43" spans="1:29">
      <c r="A43" s="209" t="s">
        <v>183</v>
      </c>
      <c r="B43" s="220"/>
      <c r="C43" s="214"/>
      <c r="D43" s="213"/>
      <c r="E43" s="213"/>
      <c r="F43" s="224"/>
      <c r="G43" s="220"/>
      <c r="H43" s="214"/>
      <c r="I43" s="213"/>
    </row>
    <row r="44" spans="1:29">
      <c r="A44" s="209" t="s">
        <v>184</v>
      </c>
      <c r="B44" s="220"/>
      <c r="C44" s="214"/>
      <c r="D44" s="213"/>
      <c r="E44" s="213"/>
      <c r="F44" s="224"/>
      <c r="G44" s="220"/>
      <c r="H44" s="214"/>
      <c r="I44" s="213"/>
    </row>
    <row r="45" spans="1:29">
      <c r="A45" s="209" t="s">
        <v>185</v>
      </c>
      <c r="B45" s="220"/>
      <c r="C45" s="214"/>
      <c r="D45" s="213"/>
      <c r="E45" s="213"/>
      <c r="F45" s="224"/>
      <c r="G45" s="220"/>
      <c r="H45" s="214"/>
      <c r="I45" s="213"/>
    </row>
    <row r="46" spans="1:29">
      <c r="A46" s="209" t="s">
        <v>186</v>
      </c>
      <c r="B46" s="220"/>
      <c r="C46" s="214"/>
      <c r="D46" s="213"/>
      <c r="E46" s="213"/>
      <c r="F46" s="224"/>
      <c r="G46" s="220"/>
      <c r="H46" s="214"/>
      <c r="I46" s="213"/>
    </row>
    <row r="47" spans="1:29">
      <c r="A47" s="209" t="s">
        <v>187</v>
      </c>
      <c r="B47" s="220"/>
      <c r="C47" s="214"/>
      <c r="D47" s="213"/>
      <c r="E47" s="213"/>
      <c r="F47" s="224"/>
      <c r="G47" s="220"/>
      <c r="H47" s="214"/>
      <c r="I47" s="213"/>
    </row>
    <row r="48" spans="1:29">
      <c r="A48" s="209" t="s">
        <v>188</v>
      </c>
      <c r="B48" s="220"/>
      <c r="C48" s="214"/>
      <c r="D48" s="213"/>
      <c r="E48" s="213"/>
      <c r="F48" s="224"/>
      <c r="G48" s="220"/>
      <c r="H48" s="214"/>
      <c r="I48" s="213"/>
    </row>
    <row r="49" spans="1:9">
      <c r="A49" s="209" t="s">
        <v>189</v>
      </c>
      <c r="B49" s="220"/>
      <c r="C49" s="214"/>
      <c r="D49" s="213"/>
      <c r="E49" s="213"/>
      <c r="F49" s="224"/>
      <c r="G49" s="220"/>
      <c r="H49" s="214"/>
      <c r="I49" s="213"/>
    </row>
    <row r="50" spans="1:9">
      <c r="A50" s="209" t="s">
        <v>190</v>
      </c>
      <c r="B50" s="220"/>
      <c r="C50" s="214"/>
      <c r="D50" s="213"/>
      <c r="E50" s="213"/>
      <c r="F50" s="224"/>
      <c r="G50" s="220"/>
      <c r="H50" s="214"/>
      <c r="I50" s="213"/>
    </row>
    <row r="51" spans="1:9">
      <c r="A51" s="209" t="s">
        <v>191</v>
      </c>
      <c r="B51" s="220"/>
      <c r="C51" s="214"/>
      <c r="D51" s="213"/>
      <c r="E51" s="213"/>
      <c r="F51" s="224"/>
      <c r="G51" s="220"/>
      <c r="H51" s="214"/>
      <c r="I51" s="213"/>
    </row>
    <row r="52" spans="1:9">
      <c r="A52" s="209" t="s">
        <v>192</v>
      </c>
      <c r="B52" s="220"/>
      <c r="C52" s="214"/>
      <c r="D52" s="213"/>
      <c r="E52" s="213"/>
      <c r="F52" s="224"/>
      <c r="G52" s="220"/>
      <c r="H52" s="214"/>
      <c r="I52" s="213"/>
    </row>
    <row r="53" spans="1:9">
      <c r="A53" s="209" t="s">
        <v>193</v>
      </c>
      <c r="B53" s="220"/>
      <c r="C53" s="214"/>
      <c r="D53" s="213"/>
      <c r="E53" s="213"/>
      <c r="F53" s="224"/>
      <c r="G53" s="220"/>
      <c r="H53" s="214"/>
      <c r="I53" s="213"/>
    </row>
    <row r="54" spans="1:9">
      <c r="A54" s="209" t="s">
        <v>194</v>
      </c>
      <c r="B54" s="220"/>
      <c r="C54" s="214"/>
      <c r="D54" s="213"/>
      <c r="E54" s="213"/>
      <c r="F54" s="224"/>
      <c r="G54" s="220"/>
      <c r="H54" s="214"/>
      <c r="I54" s="213"/>
    </row>
    <row r="55" spans="1:9">
      <c r="A55" s="209" t="s">
        <v>195</v>
      </c>
      <c r="B55" s="220"/>
      <c r="C55" s="214"/>
      <c r="D55" s="213"/>
      <c r="E55" s="213"/>
      <c r="F55" s="224"/>
      <c r="G55" s="220"/>
      <c r="H55" s="214"/>
      <c r="I55" s="213"/>
    </row>
    <row r="56" spans="1:9">
      <c r="A56" s="209" t="s">
        <v>196</v>
      </c>
      <c r="B56" s="220"/>
      <c r="C56" s="214"/>
      <c r="D56" s="213"/>
      <c r="E56" s="213"/>
      <c r="F56" s="224"/>
      <c r="G56" s="220"/>
      <c r="H56" s="214"/>
      <c r="I56" s="213"/>
    </row>
    <row r="57" spans="1:9">
      <c r="A57" s="209" t="s">
        <v>197</v>
      </c>
      <c r="B57" s="220"/>
      <c r="C57" s="214"/>
      <c r="D57" s="213"/>
      <c r="E57" s="213"/>
      <c r="F57" s="224"/>
      <c r="G57" s="220"/>
      <c r="H57" s="214"/>
      <c r="I57" s="213"/>
    </row>
    <row r="58" spans="1:9">
      <c r="A58" s="209" t="s">
        <v>198</v>
      </c>
      <c r="B58" s="220"/>
      <c r="C58" s="214"/>
      <c r="D58" s="213"/>
      <c r="E58" s="213"/>
      <c r="F58" s="224"/>
      <c r="G58" s="220"/>
      <c r="H58" s="214"/>
      <c r="I58" s="213"/>
    </row>
    <row r="59" spans="1:9">
      <c r="A59" s="209" t="s">
        <v>199</v>
      </c>
      <c r="B59" s="220"/>
      <c r="C59" s="214"/>
      <c r="D59" s="213"/>
      <c r="E59" s="213"/>
      <c r="F59" s="224"/>
      <c r="G59" s="220"/>
      <c r="H59" s="214"/>
      <c r="I59" s="213"/>
    </row>
    <row r="60" spans="1:9">
      <c r="A60" s="209" t="s">
        <v>200</v>
      </c>
      <c r="B60" s="220"/>
      <c r="C60" s="214"/>
      <c r="D60" s="213"/>
      <c r="E60" s="213"/>
      <c r="F60" s="224"/>
      <c r="G60" s="220"/>
      <c r="H60" s="214"/>
      <c r="I60" s="213"/>
    </row>
    <row r="61" spans="1:9">
      <c r="A61" s="209" t="s">
        <v>201</v>
      </c>
      <c r="B61" s="220"/>
      <c r="C61" s="214"/>
      <c r="D61" s="213"/>
      <c r="E61" s="213"/>
      <c r="F61" s="224"/>
      <c r="G61" s="220"/>
      <c r="H61" s="214"/>
      <c r="I61" s="213"/>
    </row>
    <row r="62" spans="1:9">
      <c r="A62" s="209" t="s">
        <v>202</v>
      </c>
      <c r="B62" s="220"/>
      <c r="C62" s="214"/>
      <c r="D62" s="213"/>
      <c r="E62" s="213"/>
      <c r="F62" s="224"/>
      <c r="G62" s="220"/>
      <c r="H62" s="214"/>
      <c r="I62" s="213"/>
    </row>
    <row r="63" spans="1:9">
      <c r="A63" s="209" t="s">
        <v>203</v>
      </c>
      <c r="B63" s="220"/>
      <c r="C63" s="214"/>
      <c r="D63" s="213"/>
      <c r="E63" s="213"/>
      <c r="F63" s="224"/>
      <c r="G63" s="220"/>
      <c r="H63" s="214"/>
      <c r="I63" s="213"/>
    </row>
    <row r="64" spans="1:9">
      <c r="A64" s="209" t="s">
        <v>204</v>
      </c>
      <c r="B64" s="220"/>
      <c r="C64" s="214"/>
      <c r="D64" s="213"/>
      <c r="E64" s="213"/>
      <c r="F64" s="224"/>
      <c r="G64" s="220"/>
      <c r="H64" s="214"/>
      <c r="I64" s="213"/>
    </row>
    <row r="65" spans="1:9">
      <c r="A65" s="209" t="s">
        <v>205</v>
      </c>
      <c r="B65" s="220"/>
      <c r="C65" s="214"/>
      <c r="D65" s="213"/>
      <c r="E65" s="213"/>
      <c r="F65" s="224"/>
      <c r="G65" s="220"/>
      <c r="H65" s="214"/>
      <c r="I65" s="213"/>
    </row>
    <row r="66" spans="1:9">
      <c r="A66" s="209" t="s">
        <v>206</v>
      </c>
      <c r="B66" s="220"/>
      <c r="C66" s="214"/>
      <c r="D66" s="213"/>
      <c r="E66" s="213"/>
      <c r="F66" s="224"/>
      <c r="G66" s="220"/>
      <c r="H66" s="214"/>
      <c r="I66" s="213"/>
    </row>
    <row r="67" spans="1:9">
      <c r="A67" s="209" t="s">
        <v>207</v>
      </c>
      <c r="B67" s="220"/>
      <c r="C67" s="214"/>
      <c r="D67" s="213"/>
      <c r="E67" s="213"/>
      <c r="F67" s="224"/>
      <c r="G67" s="220"/>
      <c r="H67" s="214"/>
      <c r="I67" s="213"/>
    </row>
    <row r="68" spans="1:9">
      <c r="A68" s="209" t="s">
        <v>208</v>
      </c>
      <c r="B68" s="220"/>
      <c r="C68" s="214"/>
      <c r="D68" s="213"/>
      <c r="E68" s="213"/>
      <c r="F68" s="224"/>
      <c r="G68" s="220"/>
      <c r="H68" s="214"/>
      <c r="I68" s="213"/>
    </row>
    <row r="69" spans="1:9">
      <c r="A69" s="209" t="s">
        <v>209</v>
      </c>
      <c r="B69" s="220"/>
      <c r="C69" s="214"/>
      <c r="D69" s="213"/>
      <c r="E69" s="213"/>
      <c r="F69" s="224"/>
      <c r="G69" s="220"/>
      <c r="H69" s="214"/>
      <c r="I69" s="213"/>
    </row>
    <row r="70" spans="1:9" ht="15.75" thickBot="1">
      <c r="A70" s="210" t="s">
        <v>210</v>
      </c>
      <c r="B70" s="221"/>
      <c r="C70" s="211"/>
      <c r="D70" s="194"/>
      <c r="E70" s="194"/>
      <c r="F70" s="225"/>
      <c r="G70" s="221"/>
      <c r="H70" s="211"/>
      <c r="I70" s="194"/>
    </row>
  </sheetData>
  <pageMargins left="0.7" right="0.7" top="0.75" bottom="0.75" header="0.3" footer="0.3"/>
  <pageSetup paperSize="9" scale="67"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árok5"/>
  <dimension ref="A2:R53"/>
  <sheetViews>
    <sheetView view="pageBreakPreview" zoomScale="90" zoomScaleNormal="80" zoomScaleSheetLayoutView="90" workbookViewId="0">
      <selection activeCell="A9" sqref="A9:XFD9"/>
    </sheetView>
  </sheetViews>
  <sheetFormatPr defaultColWidth="8.7109375" defaultRowHeight="15"/>
  <cols>
    <col min="1" max="1" width="7.7109375" style="57" customWidth="1"/>
    <col min="2" max="2" width="12.7109375" style="57" customWidth="1"/>
    <col min="3" max="3" width="14" style="57" customWidth="1"/>
    <col min="4" max="4" width="9.42578125" style="57" customWidth="1"/>
    <col min="5" max="6" width="11.7109375" style="57" customWidth="1"/>
    <col min="7" max="7" width="9.7109375" customWidth="1"/>
    <col min="8" max="8" width="11.42578125" customWidth="1"/>
    <col min="9" max="9" width="10.7109375" customWidth="1"/>
    <col min="10" max="10" width="9.42578125" customWidth="1"/>
    <col min="11" max="11" width="12.7109375" customWidth="1"/>
    <col min="12" max="12" width="11.42578125" customWidth="1"/>
    <col min="13" max="13" width="10.42578125" customWidth="1"/>
    <col min="14" max="14" width="13.28515625" customWidth="1"/>
    <col min="15" max="15" width="11.28515625" customWidth="1"/>
    <col min="16" max="16" width="9.7109375" customWidth="1"/>
    <col min="17" max="17" width="14.7109375" customWidth="1"/>
    <col min="18" max="18" width="15.7109375" customWidth="1"/>
  </cols>
  <sheetData>
    <row r="2" spans="1:18">
      <c r="A2" s="174" t="s">
        <v>115</v>
      </c>
      <c r="B2" s="175">
        <f>'CBA - Agendové IS'!J17</f>
        <v>1.6546973318908109</v>
      </c>
    </row>
    <row r="5" spans="1:18" ht="30" customHeight="1">
      <c r="B5" s="874" t="s">
        <v>157</v>
      </c>
      <c r="C5" s="875"/>
      <c r="D5" s="182"/>
      <c r="E5" s="874" t="s">
        <v>158</v>
      </c>
      <c r="F5" s="875"/>
      <c r="H5" s="872" t="s">
        <v>153</v>
      </c>
      <c r="I5" s="873"/>
      <c r="J5" s="57"/>
      <c r="K5" s="874" t="s">
        <v>156</v>
      </c>
      <c r="L5" s="875"/>
      <c r="N5" s="872" t="s">
        <v>154</v>
      </c>
      <c r="O5" s="873"/>
      <c r="Q5" s="872" t="s">
        <v>155</v>
      </c>
      <c r="R5" s="873"/>
    </row>
    <row r="6" spans="1:18">
      <c r="B6" s="177" t="s">
        <v>12</v>
      </c>
      <c r="C6" s="176" t="s">
        <v>115</v>
      </c>
      <c r="D6" s="183"/>
      <c r="E6" s="177" t="s">
        <v>12</v>
      </c>
      <c r="F6" s="176" t="s">
        <v>115</v>
      </c>
      <c r="H6" s="177" t="s">
        <v>12</v>
      </c>
      <c r="I6" s="176" t="s">
        <v>115</v>
      </c>
      <c r="J6" s="57"/>
      <c r="K6" s="177" t="s">
        <v>12</v>
      </c>
      <c r="L6" s="176" t="s">
        <v>115</v>
      </c>
      <c r="N6" s="178" t="s">
        <v>12</v>
      </c>
      <c r="O6" s="179" t="s">
        <v>115</v>
      </c>
      <c r="Q6" s="178" t="s">
        <v>12</v>
      </c>
      <c r="R6" s="179" t="s">
        <v>115</v>
      </c>
    </row>
    <row r="7" spans="1:18" ht="15" customHeight="1">
      <c r="B7" s="170">
        <v>0</v>
      </c>
      <c r="C7" s="162">
        <f>B2</f>
        <v>1.6546973318908109</v>
      </c>
      <c r="D7" s="180"/>
      <c r="E7" s="170">
        <v>0</v>
      </c>
      <c r="F7" s="162">
        <f>B2</f>
        <v>1.6546973318908109</v>
      </c>
      <c r="H7" s="170">
        <v>0</v>
      </c>
      <c r="I7" s="162">
        <f>B2</f>
        <v>1.6546973318908109</v>
      </c>
      <c r="J7" s="57"/>
      <c r="K7" s="170">
        <v>0</v>
      </c>
      <c r="L7" s="162">
        <f>B2</f>
        <v>1.6546973318908109</v>
      </c>
      <c r="N7" s="172">
        <v>0</v>
      </c>
      <c r="O7" s="164">
        <f>B2</f>
        <v>1.6546973318908109</v>
      </c>
      <c r="Q7" s="172">
        <v>0</v>
      </c>
      <c r="R7" s="164">
        <f>B2</f>
        <v>1.6546973318908109</v>
      </c>
    </row>
    <row r="8" spans="1:18">
      <c r="B8" s="170">
        <v>0.1</v>
      </c>
      <c r="C8" s="166">
        <f t="dataTable" ref="C8:C17" dt2D="0" dtr="0" r1="B7" ca="1"/>
        <v>1.5042703017189187</v>
      </c>
      <c r="D8" s="181"/>
      <c r="E8" s="170">
        <v>0.1</v>
      </c>
      <c r="F8" s="166">
        <f t="dataTable" ref="F8:F17" dt2D="0" dtr="0" r1="E7"/>
        <v>1.5694107525120118</v>
      </c>
      <c r="H8" s="170">
        <v>-0.1</v>
      </c>
      <c r="I8" s="166">
        <f t="dataTable" ref="I8:I17" dt2D="0" dtr="0" r1="H7" ca="1"/>
        <v>1.6036022344204544</v>
      </c>
      <c r="J8" s="57"/>
      <c r="K8" s="170">
        <v>-0.1</v>
      </c>
      <c r="L8" s="166">
        <f t="dataTable" ref="L8:L17" dt2D="0" dtr="0" r1="K7" ca="1"/>
        <v>1.7854391233272271</v>
      </c>
      <c r="N8" s="172">
        <v>-0.1</v>
      </c>
      <c r="O8" s="168">
        <f t="dataTable" ref="O8:O17" dt2D="0" dtr="0" r1="N7" ca="1"/>
        <v>1.5463684189863516</v>
      </c>
      <c r="Q8" s="172">
        <v>-0.1</v>
      </c>
      <c r="R8" s="168">
        <f t="dataTable" ref="R8:R17" dt2D="0" dtr="0" r1="Q7" ca="1"/>
        <v>1.6546973318908109</v>
      </c>
    </row>
    <row r="9" spans="1:18">
      <c r="A9" s="165"/>
      <c r="B9" s="170">
        <v>0.2</v>
      </c>
      <c r="C9" s="166">
        <v>1.3789144432423421</v>
      </c>
      <c r="D9" s="181"/>
      <c r="E9" s="170">
        <v>0.2</v>
      </c>
      <c r="F9" s="166">
        <v>1.4924849408104601</v>
      </c>
      <c r="H9" s="170">
        <v>-0.2</v>
      </c>
      <c r="I9" s="166">
        <v>1.552507136950098</v>
      </c>
      <c r="J9" s="57"/>
      <c r="K9" s="170">
        <v>-0.2</v>
      </c>
      <c r="L9" s="166">
        <v>1.9161809147636431</v>
      </c>
      <c r="N9" s="172">
        <v>-0.2</v>
      </c>
      <c r="O9" s="168">
        <v>1.4380395060818922</v>
      </c>
      <c r="Q9" s="172">
        <v>-0.2</v>
      </c>
      <c r="R9" s="168">
        <v>1.6546973318908109</v>
      </c>
    </row>
    <row r="10" spans="1:18">
      <c r="A10" s="165"/>
      <c r="B10" s="170">
        <v>0.3</v>
      </c>
      <c r="C10" s="166">
        <v>1.2728441014544696</v>
      </c>
      <c r="D10" s="181"/>
      <c r="E10" s="170">
        <v>0.3</v>
      </c>
      <c r="F10" s="166">
        <v>1.4227479149678546</v>
      </c>
      <c r="H10" s="170">
        <v>-0.3</v>
      </c>
      <c r="I10" s="166">
        <v>1.5014120394797417</v>
      </c>
      <c r="J10" s="57"/>
      <c r="K10" s="170">
        <v>-0.3</v>
      </c>
      <c r="L10" s="166">
        <v>2.0469227062000592</v>
      </c>
      <c r="N10" s="172">
        <v>-0.3</v>
      </c>
      <c r="O10" s="168">
        <v>1.3297105931774331</v>
      </c>
      <c r="Q10" s="172">
        <v>-0.3</v>
      </c>
      <c r="R10" s="168">
        <v>1.6546973318908109</v>
      </c>
    </row>
    <row r="11" spans="1:18">
      <c r="A11" s="165"/>
      <c r="B11" s="170">
        <v>0.4</v>
      </c>
      <c r="C11" s="166">
        <v>1.1819266656362934</v>
      </c>
      <c r="D11" s="181"/>
      <c r="E11" s="170">
        <v>0.4</v>
      </c>
      <c r="F11" s="166">
        <v>1.3592369605506707</v>
      </c>
      <c r="H11" s="170">
        <v>-0.4</v>
      </c>
      <c r="I11" s="166">
        <v>1.4503169420093851</v>
      </c>
      <c r="J11" s="57"/>
      <c r="K11" s="170">
        <v>-0.4</v>
      </c>
      <c r="L11" s="166">
        <v>2.1776644976364756</v>
      </c>
      <c r="N11" s="172">
        <v>-0.4</v>
      </c>
      <c r="O11" s="168">
        <v>1.2213816802729736</v>
      </c>
      <c r="Q11" s="172">
        <v>-0.4</v>
      </c>
      <c r="R11" s="168">
        <v>1.6546973318908109</v>
      </c>
    </row>
    <row r="12" spans="1:18">
      <c r="A12" s="165"/>
      <c r="B12" s="170">
        <v>0.5</v>
      </c>
      <c r="C12" s="166">
        <v>1.1031315545938736</v>
      </c>
      <c r="D12" s="181"/>
      <c r="E12" s="170">
        <v>0.5</v>
      </c>
      <c r="F12" s="166">
        <v>1.3011539183418772</v>
      </c>
      <c r="H12" s="170">
        <v>-0.5</v>
      </c>
      <c r="I12" s="166">
        <v>1.399221844539029</v>
      </c>
      <c r="J12" s="57"/>
      <c r="K12" s="170">
        <v>-0.5</v>
      </c>
      <c r="L12" s="166">
        <v>2.308406289072892</v>
      </c>
      <c r="N12" s="172">
        <v>-0.5</v>
      </c>
      <c r="O12" s="168">
        <v>1.1130527673685147</v>
      </c>
      <c r="Q12" s="172">
        <v>-0.5</v>
      </c>
      <c r="R12" s="168">
        <v>1.6546973318908109</v>
      </c>
    </row>
    <row r="13" spans="1:18">
      <c r="A13" s="165"/>
      <c r="B13" s="170">
        <v>0.6</v>
      </c>
      <c r="C13" s="166">
        <v>1.0341858324317565</v>
      </c>
      <c r="D13" s="181"/>
      <c r="E13" s="170">
        <v>0.6</v>
      </c>
      <c r="F13" s="166">
        <v>1.2478314662406951</v>
      </c>
      <c r="H13" s="170">
        <v>-0.6</v>
      </c>
      <c r="I13" s="166">
        <v>1.348126747068672</v>
      </c>
      <c r="J13" s="57"/>
      <c r="K13" s="170">
        <v>-0.6</v>
      </c>
      <c r="L13" s="166">
        <v>2.439148080509308</v>
      </c>
      <c r="N13" s="172">
        <v>-0.6</v>
      </c>
      <c r="O13" s="168">
        <v>1.0047238544640551</v>
      </c>
      <c r="Q13" s="172">
        <v>-0.6</v>
      </c>
      <c r="R13" s="168">
        <v>1.6546973318908109</v>
      </c>
    </row>
    <row r="14" spans="1:18">
      <c r="A14" s="161"/>
      <c r="B14" s="170">
        <v>0.7</v>
      </c>
      <c r="C14" s="166">
        <v>0.97335137170047692</v>
      </c>
      <c r="D14" s="181"/>
      <c r="E14" s="170">
        <v>0.7</v>
      </c>
      <c r="F14" s="166">
        <v>1.1987073655616984</v>
      </c>
      <c r="H14" s="170">
        <v>-0.7</v>
      </c>
      <c r="I14" s="166">
        <v>1.2970316495983159</v>
      </c>
      <c r="J14" s="57"/>
      <c r="K14" s="170">
        <v>-0.7</v>
      </c>
      <c r="L14" s="166">
        <v>2.5698898719457239</v>
      </c>
      <c r="N14" s="172">
        <v>-0.7</v>
      </c>
      <c r="O14" s="168">
        <v>0.89639494155959609</v>
      </c>
      <c r="Q14" s="172">
        <v>-0.7</v>
      </c>
      <c r="R14" s="168">
        <v>1.6546973318908109</v>
      </c>
    </row>
    <row r="15" spans="1:18">
      <c r="A15" s="161"/>
      <c r="B15" s="170">
        <v>0.8</v>
      </c>
      <c r="C15" s="166">
        <v>0.91927629549489465</v>
      </c>
      <c r="D15" s="181"/>
      <c r="E15" s="170">
        <v>0.8</v>
      </c>
      <c r="F15" s="166">
        <v>1.1533045600898326</v>
      </c>
      <c r="H15" s="170">
        <v>-0.8</v>
      </c>
      <c r="I15" s="166">
        <v>1.2459365521279593</v>
      </c>
      <c r="J15" s="57"/>
      <c r="K15" s="170">
        <v>-0.8</v>
      </c>
      <c r="L15" s="166">
        <v>2.7006316633821403</v>
      </c>
      <c r="N15" s="172">
        <v>-0.8</v>
      </c>
      <c r="O15" s="168">
        <v>0.7880660286551372</v>
      </c>
      <c r="Q15" s="172">
        <v>-0.8</v>
      </c>
      <c r="R15" s="168">
        <v>1.6546973318908109</v>
      </c>
    </row>
    <row r="16" spans="1:18">
      <c r="A16" s="161"/>
      <c r="B16" s="170">
        <v>0.9</v>
      </c>
      <c r="C16" s="166">
        <v>0.87089333257411083</v>
      </c>
      <c r="D16" s="181"/>
      <c r="E16" s="170">
        <v>0.9</v>
      </c>
      <c r="F16" s="166">
        <v>1.1112156327498426</v>
      </c>
      <c r="H16" s="170">
        <v>-0.9</v>
      </c>
      <c r="I16" s="166">
        <v>1.1948414546576032</v>
      </c>
      <c r="J16" s="57"/>
      <c r="K16" s="170">
        <v>-0.9</v>
      </c>
      <c r="L16" s="166">
        <v>2.8313734548185567</v>
      </c>
      <c r="N16" s="172">
        <v>-0.9</v>
      </c>
      <c r="O16" s="168">
        <v>0.67973711575067797</v>
      </c>
      <c r="Q16" s="172">
        <v>-0.9</v>
      </c>
      <c r="R16" s="168">
        <v>1.6546973318908109</v>
      </c>
    </row>
    <row r="17" spans="1:18">
      <c r="A17" s="161"/>
      <c r="B17" s="171">
        <v>1</v>
      </c>
      <c r="C17" s="167">
        <v>0.82734866594540546</v>
      </c>
      <c r="D17" s="181"/>
      <c r="E17" s="171">
        <v>1</v>
      </c>
      <c r="F17" s="167">
        <v>1.0720905458912653</v>
      </c>
      <c r="H17" s="171">
        <v>-1</v>
      </c>
      <c r="I17" s="167">
        <v>1.1437463571872466</v>
      </c>
      <c r="J17" s="57"/>
      <c r="K17" s="171">
        <v>-1</v>
      </c>
      <c r="L17" s="167">
        <v>2.9621152462549722</v>
      </c>
      <c r="N17" s="173">
        <v>-1</v>
      </c>
      <c r="O17" s="169">
        <v>0.57140820284621874</v>
      </c>
      <c r="Q17" s="173">
        <v>-1</v>
      </c>
      <c r="R17" s="169">
        <v>1.6546973318908109</v>
      </c>
    </row>
    <row r="18" spans="1:18">
      <c r="A18" s="165"/>
      <c r="N18" s="97"/>
    </row>
    <row r="19" spans="1:18">
      <c r="A19" s="165"/>
    </row>
    <row r="25" spans="1:18" ht="18.75" customHeight="1">
      <c r="D25" s="866" t="s">
        <v>155</v>
      </c>
      <c r="E25" s="867"/>
      <c r="F25" s="867"/>
      <c r="G25" s="867"/>
      <c r="H25" s="867"/>
      <c r="I25" s="867"/>
      <c r="J25" s="867"/>
      <c r="K25" s="867"/>
      <c r="L25" s="867"/>
      <c r="M25" s="867"/>
      <c r="N25" s="868"/>
    </row>
    <row r="26" spans="1:18">
      <c r="C26" s="184">
        <f>B2</f>
        <v>1.6546973318908109</v>
      </c>
      <c r="D26" s="190">
        <v>0</v>
      </c>
      <c r="E26" s="187">
        <v>-0.1</v>
      </c>
      <c r="F26" s="187">
        <v>-0.2</v>
      </c>
      <c r="G26" s="187">
        <v>-0.3</v>
      </c>
      <c r="H26" s="187">
        <v>-0.4</v>
      </c>
      <c r="I26" s="187">
        <v>-0.5</v>
      </c>
      <c r="J26" s="187">
        <v>-0.6</v>
      </c>
      <c r="K26" s="187">
        <v>-0.7</v>
      </c>
      <c r="L26" s="187">
        <v>-0.8</v>
      </c>
      <c r="M26" s="187">
        <v>-0.9</v>
      </c>
      <c r="N26" s="191">
        <v>-1</v>
      </c>
    </row>
    <row r="27" spans="1:18" ht="14.25" customHeight="1">
      <c r="B27" s="869" t="s">
        <v>154</v>
      </c>
      <c r="C27" s="192">
        <v>0</v>
      </c>
      <c r="D27" s="181">
        <f t="dataTable" ref="D27:N37" dt2D="1" dtr="1" r1="Q7" r2="N7" ca="1"/>
        <v>1.6546973318908109</v>
      </c>
      <c r="E27" s="181">
        <v>1.6546973318908109</v>
      </c>
      <c r="F27" s="181">
        <v>1.6546973318908109</v>
      </c>
      <c r="G27" s="186">
        <v>1.6546973318908109</v>
      </c>
      <c r="H27" s="186">
        <v>1.6546973318908109</v>
      </c>
      <c r="I27" s="186">
        <v>1.6546973318908109</v>
      </c>
      <c r="J27" s="186">
        <v>1.6546973318908109</v>
      </c>
      <c r="K27" s="186">
        <v>1.6546973318908109</v>
      </c>
      <c r="L27" s="186">
        <v>1.6546973318908109</v>
      </c>
      <c r="M27" s="186">
        <v>1.6546973318908109</v>
      </c>
      <c r="N27" s="168">
        <v>1.6546973318908109</v>
      </c>
    </row>
    <row r="28" spans="1:18">
      <c r="B28" s="870"/>
      <c r="C28" s="185">
        <v>-0.1</v>
      </c>
      <c r="D28" s="181">
        <v>1.5463684189863516</v>
      </c>
      <c r="E28" s="181">
        <v>1.5463684189863516</v>
      </c>
      <c r="F28" s="181">
        <v>1.5463684189863516</v>
      </c>
      <c r="G28" s="186">
        <v>1.5463684189863516</v>
      </c>
      <c r="H28" s="186">
        <v>1.5463684189863516</v>
      </c>
      <c r="I28" s="186">
        <v>1.5463684189863516</v>
      </c>
      <c r="J28" s="186">
        <v>1.5463684189863516</v>
      </c>
      <c r="K28" s="186">
        <v>1.5463684189863516</v>
      </c>
      <c r="L28" s="186">
        <v>1.5463684189863516</v>
      </c>
      <c r="M28" s="186">
        <v>1.5463684189863516</v>
      </c>
      <c r="N28" s="168">
        <v>1.5463684189863516</v>
      </c>
    </row>
    <row r="29" spans="1:18">
      <c r="B29" s="870"/>
      <c r="C29" s="185">
        <v>-0.2</v>
      </c>
      <c r="D29" s="181">
        <v>1.4380395060818922</v>
      </c>
      <c r="E29" s="181">
        <v>1.4380395060818922</v>
      </c>
      <c r="F29" s="181">
        <v>1.4380395060818922</v>
      </c>
      <c r="G29" s="186">
        <v>1.4380395060818922</v>
      </c>
      <c r="H29" s="186">
        <v>1.4380395060818922</v>
      </c>
      <c r="I29" s="186">
        <v>1.4380395060818922</v>
      </c>
      <c r="J29" s="186">
        <v>1.4380395060818922</v>
      </c>
      <c r="K29" s="186">
        <v>1.4380395060818922</v>
      </c>
      <c r="L29" s="186">
        <v>1.4380395060818922</v>
      </c>
      <c r="M29" s="186">
        <v>1.4380395060818922</v>
      </c>
      <c r="N29" s="168">
        <v>1.4380395060818922</v>
      </c>
    </row>
    <row r="30" spans="1:18">
      <c r="B30" s="870"/>
      <c r="C30" s="185">
        <v>-0.3</v>
      </c>
      <c r="D30" s="181">
        <v>1.3297105931774331</v>
      </c>
      <c r="E30" s="181">
        <v>1.3297105931774331</v>
      </c>
      <c r="F30" s="181">
        <v>1.3297105931774331</v>
      </c>
      <c r="G30" s="186">
        <v>1.3297105931774331</v>
      </c>
      <c r="H30" s="186">
        <v>1.3297105931774331</v>
      </c>
      <c r="I30" s="186">
        <v>1.3297105931774331</v>
      </c>
      <c r="J30" s="186">
        <v>1.3297105931774331</v>
      </c>
      <c r="K30" s="186">
        <v>1.3297105931774331</v>
      </c>
      <c r="L30" s="186">
        <v>1.3297105931774331</v>
      </c>
      <c r="M30" s="186">
        <v>1.3297105931774331</v>
      </c>
      <c r="N30" s="168">
        <v>1.3297105931774331</v>
      </c>
    </row>
    <row r="31" spans="1:18">
      <c r="B31" s="870"/>
      <c r="C31" s="185">
        <v>-0.4</v>
      </c>
      <c r="D31" s="181">
        <v>1.2213816802729736</v>
      </c>
      <c r="E31" s="181">
        <v>1.2213816802729736</v>
      </c>
      <c r="F31" s="181">
        <v>1.2213816802729736</v>
      </c>
      <c r="G31" s="186">
        <v>1.2213816802729736</v>
      </c>
      <c r="H31" s="186">
        <v>1.2213816802729736</v>
      </c>
      <c r="I31" s="186">
        <v>1.2213816802729736</v>
      </c>
      <c r="J31" s="186">
        <v>1.2213816802729736</v>
      </c>
      <c r="K31" s="186">
        <v>1.2213816802729736</v>
      </c>
      <c r="L31" s="186">
        <v>1.2213816802729736</v>
      </c>
      <c r="M31" s="186">
        <v>1.2213816802729736</v>
      </c>
      <c r="N31" s="168">
        <v>1.2213816802729736</v>
      </c>
    </row>
    <row r="32" spans="1:18">
      <c r="B32" s="870"/>
      <c r="C32" s="185">
        <v>-0.5</v>
      </c>
      <c r="D32" s="181">
        <v>1.1130527673685147</v>
      </c>
      <c r="E32" s="181">
        <v>1.1130527673685147</v>
      </c>
      <c r="F32" s="181">
        <v>1.1130527673685147</v>
      </c>
      <c r="G32" s="186">
        <v>1.1130527673685147</v>
      </c>
      <c r="H32" s="186">
        <v>1.1130527673685147</v>
      </c>
      <c r="I32" s="186">
        <v>1.1130527673685147</v>
      </c>
      <c r="J32" s="186">
        <v>1.1130527673685147</v>
      </c>
      <c r="K32" s="186">
        <v>1.1130527673685147</v>
      </c>
      <c r="L32" s="186">
        <v>1.1130527673685147</v>
      </c>
      <c r="M32" s="186">
        <v>1.1130527673685147</v>
      </c>
      <c r="N32" s="168">
        <v>1.1130527673685147</v>
      </c>
    </row>
    <row r="33" spans="2:14">
      <c r="B33" s="870"/>
      <c r="C33" s="185">
        <v>-0.6</v>
      </c>
      <c r="D33" s="181">
        <v>1.0047238544640551</v>
      </c>
      <c r="E33" s="181">
        <v>1.0047238544640551</v>
      </c>
      <c r="F33" s="181">
        <v>1.0047238544640551</v>
      </c>
      <c r="G33" s="186">
        <v>1.0047238544640551</v>
      </c>
      <c r="H33" s="186">
        <v>1.0047238544640551</v>
      </c>
      <c r="I33" s="186">
        <v>1.0047238544640551</v>
      </c>
      <c r="J33" s="186">
        <v>1.0047238544640551</v>
      </c>
      <c r="K33" s="186">
        <v>1.0047238544640551</v>
      </c>
      <c r="L33" s="186">
        <v>1.0047238544640551</v>
      </c>
      <c r="M33" s="186">
        <v>1.0047238544640551</v>
      </c>
      <c r="N33" s="168">
        <v>1.0047238544640551</v>
      </c>
    </row>
    <row r="34" spans="2:14">
      <c r="B34" s="870"/>
      <c r="C34" s="185">
        <v>-0.7</v>
      </c>
      <c r="D34" s="181">
        <v>0.89639494155959609</v>
      </c>
      <c r="E34" s="181">
        <v>0.89639494155959609</v>
      </c>
      <c r="F34" s="181">
        <v>0.89639494155959609</v>
      </c>
      <c r="G34" s="186">
        <v>0.89639494155959609</v>
      </c>
      <c r="H34" s="186">
        <v>0.89639494155959609</v>
      </c>
      <c r="I34" s="186">
        <v>0.89639494155959609</v>
      </c>
      <c r="J34" s="186">
        <v>0.89639494155959609</v>
      </c>
      <c r="K34" s="186">
        <v>0.89639494155959609</v>
      </c>
      <c r="L34" s="186">
        <v>0.89639494155959609</v>
      </c>
      <c r="M34" s="186">
        <v>0.89639494155959609</v>
      </c>
      <c r="N34" s="168">
        <v>0.89639494155959609</v>
      </c>
    </row>
    <row r="35" spans="2:14">
      <c r="B35" s="870"/>
      <c r="C35" s="185">
        <v>-0.8</v>
      </c>
      <c r="D35" s="181">
        <v>0.7880660286551372</v>
      </c>
      <c r="E35" s="181">
        <v>0.7880660286551372</v>
      </c>
      <c r="F35" s="181">
        <v>0.7880660286551372</v>
      </c>
      <c r="G35" s="186">
        <v>0.7880660286551372</v>
      </c>
      <c r="H35" s="186">
        <v>0.7880660286551372</v>
      </c>
      <c r="I35" s="186">
        <v>0.7880660286551372</v>
      </c>
      <c r="J35" s="186">
        <v>0.7880660286551372</v>
      </c>
      <c r="K35" s="186">
        <v>0.7880660286551372</v>
      </c>
      <c r="L35" s="186">
        <v>0.7880660286551372</v>
      </c>
      <c r="M35" s="186">
        <v>0.7880660286551372</v>
      </c>
      <c r="N35" s="168">
        <v>0.7880660286551372</v>
      </c>
    </row>
    <row r="36" spans="2:14">
      <c r="B36" s="870"/>
      <c r="C36" s="185">
        <v>-0.9</v>
      </c>
      <c r="D36" s="181">
        <v>0.67973711575067797</v>
      </c>
      <c r="E36" s="181">
        <v>0.67973711575067797</v>
      </c>
      <c r="F36" s="181">
        <v>0.67973711575067797</v>
      </c>
      <c r="G36" s="186">
        <v>0.67973711575067797</v>
      </c>
      <c r="H36" s="186">
        <v>0.67973711575067797</v>
      </c>
      <c r="I36" s="186">
        <v>0.67973711575067797</v>
      </c>
      <c r="J36" s="186">
        <v>0.67973711575067797</v>
      </c>
      <c r="K36" s="186">
        <v>0.67973711575067797</v>
      </c>
      <c r="L36" s="186">
        <v>0.67973711575067797</v>
      </c>
      <c r="M36" s="186">
        <v>0.67973711575067797</v>
      </c>
      <c r="N36" s="168">
        <v>0.67973711575067797</v>
      </c>
    </row>
    <row r="37" spans="2:14">
      <c r="B37" s="871"/>
      <c r="C37" s="191">
        <v>-1</v>
      </c>
      <c r="D37" s="188">
        <v>0.57140820284621874</v>
      </c>
      <c r="E37" s="188">
        <v>0.57140820284621874</v>
      </c>
      <c r="F37" s="188">
        <v>0.57140820284621874</v>
      </c>
      <c r="G37" s="189">
        <v>0.57140820284621874</v>
      </c>
      <c r="H37" s="189">
        <v>0.57140820284621874</v>
      </c>
      <c r="I37" s="189">
        <v>0.57140820284621874</v>
      </c>
      <c r="J37" s="189">
        <v>0.57140820284621874</v>
      </c>
      <c r="K37" s="189">
        <v>0.57140820284621874</v>
      </c>
      <c r="L37" s="189">
        <v>0.57140820284621874</v>
      </c>
      <c r="M37" s="189">
        <v>0.57140820284621874</v>
      </c>
      <c r="N37" s="169">
        <v>0.57140820284621874</v>
      </c>
    </row>
    <row r="41" spans="2:14">
      <c r="D41" s="866" t="s">
        <v>156</v>
      </c>
      <c r="E41" s="867"/>
      <c r="F41" s="867"/>
      <c r="G41" s="867"/>
      <c r="H41" s="867"/>
      <c r="I41" s="867"/>
      <c r="J41" s="867"/>
      <c r="K41" s="867"/>
      <c r="L41" s="867"/>
      <c r="M41" s="867"/>
      <c r="N41" s="868"/>
    </row>
    <row r="42" spans="2:14">
      <c r="C42" s="184">
        <f>B2</f>
        <v>1.6546973318908109</v>
      </c>
      <c r="D42" s="190">
        <v>0</v>
      </c>
      <c r="E42" s="187">
        <v>-0.1</v>
      </c>
      <c r="F42" s="187">
        <v>-0.2</v>
      </c>
      <c r="G42" s="187">
        <v>-0.3</v>
      </c>
      <c r="H42" s="187">
        <v>-0.4</v>
      </c>
      <c r="I42" s="187">
        <v>-0.5</v>
      </c>
      <c r="J42" s="187">
        <v>-0.6</v>
      </c>
      <c r="K42" s="187">
        <v>-0.7</v>
      </c>
      <c r="L42" s="187">
        <v>-0.8</v>
      </c>
      <c r="M42" s="187">
        <v>-0.9</v>
      </c>
      <c r="N42" s="191">
        <v>-1</v>
      </c>
    </row>
    <row r="43" spans="2:14">
      <c r="B43" s="869" t="s">
        <v>158</v>
      </c>
      <c r="C43" s="192">
        <v>0</v>
      </c>
      <c r="D43" s="181">
        <f t="dataTable" ref="D43:N53" dt2D="1" dtr="1" r1="K7" r2="E7" ca="1"/>
        <v>1.6546973318908109</v>
      </c>
      <c r="E43" s="181">
        <v>1.7854391233272271</v>
      </c>
      <c r="F43" s="181">
        <v>1.9161809147636431</v>
      </c>
      <c r="G43" s="186">
        <v>2.0469227062000592</v>
      </c>
      <c r="H43" s="186">
        <v>2.1776644976364756</v>
      </c>
      <c r="I43" s="186">
        <v>2.308406289072892</v>
      </c>
      <c r="J43" s="186">
        <v>2.439148080509308</v>
      </c>
      <c r="K43" s="186">
        <v>2.5698898719457239</v>
      </c>
      <c r="L43" s="186">
        <v>2.7006316633821403</v>
      </c>
      <c r="M43" s="186">
        <v>2.8313734548185567</v>
      </c>
      <c r="N43" s="168">
        <v>2.9621152462549722</v>
      </c>
    </row>
    <row r="44" spans="2:14">
      <c r="B44" s="870"/>
      <c r="C44" s="185">
        <v>0.1</v>
      </c>
      <c r="D44" s="181">
        <v>1.5694107525120118</v>
      </c>
      <c r="E44" s="181">
        <v>1.6934138371417116</v>
      </c>
      <c r="F44" s="181">
        <v>1.8174169217714111</v>
      </c>
      <c r="G44" s="186">
        <v>1.9414200064011109</v>
      </c>
      <c r="H44" s="186">
        <v>2.0654230910308105</v>
      </c>
      <c r="I44" s="186">
        <v>2.1894261756605102</v>
      </c>
      <c r="J44" s="186">
        <v>2.31342926029021</v>
      </c>
      <c r="K44" s="186">
        <v>2.4374323449199093</v>
      </c>
      <c r="L44" s="186">
        <v>2.5614354295496091</v>
      </c>
      <c r="M44" s="186">
        <v>2.6854385141793089</v>
      </c>
      <c r="N44" s="168">
        <v>2.8094415988090082</v>
      </c>
    </row>
    <row r="45" spans="2:14">
      <c r="B45" s="870"/>
      <c r="C45" s="185">
        <v>0.2</v>
      </c>
      <c r="D45" s="181">
        <v>1.4924849408104601</v>
      </c>
      <c r="E45" s="181">
        <v>1.6104099238830196</v>
      </c>
      <c r="F45" s="181">
        <v>1.7283349069555789</v>
      </c>
      <c r="G45" s="186">
        <v>1.8462598900281384</v>
      </c>
      <c r="H45" s="186">
        <v>1.9641848731006979</v>
      </c>
      <c r="I45" s="186">
        <v>2.0821098561732572</v>
      </c>
      <c r="J45" s="186">
        <v>2.2000348392458169</v>
      </c>
      <c r="K45" s="186">
        <v>2.3179598223183762</v>
      </c>
      <c r="L45" s="186">
        <v>2.4358848053909354</v>
      </c>
      <c r="M45" s="186">
        <v>2.5538097884634952</v>
      </c>
      <c r="N45" s="168">
        <v>2.671734771536054</v>
      </c>
    </row>
    <row r="46" spans="2:14">
      <c r="B46" s="870"/>
      <c r="C46" s="185">
        <v>0.3</v>
      </c>
      <c r="D46" s="181">
        <v>1.4227479149678546</v>
      </c>
      <c r="E46" s="181">
        <v>1.5351628005063283</v>
      </c>
      <c r="F46" s="181">
        <v>1.6475776860448017</v>
      </c>
      <c r="G46" s="186">
        <v>1.7599925715832754</v>
      </c>
      <c r="H46" s="186">
        <v>1.8724074571217491</v>
      </c>
      <c r="I46" s="186">
        <v>1.9848223426602227</v>
      </c>
      <c r="J46" s="186">
        <v>2.0972372281986966</v>
      </c>
      <c r="K46" s="186">
        <v>2.2096521137371701</v>
      </c>
      <c r="L46" s="186">
        <v>2.3220669992756435</v>
      </c>
      <c r="M46" s="186">
        <v>2.4344818848141174</v>
      </c>
      <c r="N46" s="168">
        <v>2.5468967703525904</v>
      </c>
    </row>
    <row r="47" spans="2:14">
      <c r="B47" s="870"/>
      <c r="C47" s="185">
        <v>0.4</v>
      </c>
      <c r="D47" s="181">
        <v>1.3592369605506707</v>
      </c>
      <c r="E47" s="181">
        <v>1.4666336860931706</v>
      </c>
      <c r="F47" s="181">
        <v>1.57403041163567</v>
      </c>
      <c r="G47" s="186">
        <v>1.6814271371781699</v>
      </c>
      <c r="H47" s="186">
        <v>1.7888238627206696</v>
      </c>
      <c r="I47" s="186">
        <v>1.8962205882631695</v>
      </c>
      <c r="J47" s="186">
        <v>2.0036173138056692</v>
      </c>
      <c r="K47" s="186">
        <v>2.1110140393481691</v>
      </c>
      <c r="L47" s="186">
        <v>2.2184107648906686</v>
      </c>
      <c r="M47" s="186">
        <v>2.3258074904331685</v>
      </c>
      <c r="N47" s="168">
        <v>2.4332042159756679</v>
      </c>
    </row>
    <row r="48" spans="2:14">
      <c r="B48" s="870"/>
      <c r="C48" s="185">
        <v>0.5</v>
      </c>
      <c r="D48" s="181">
        <v>1.3011539183418772</v>
      </c>
      <c r="E48" s="181">
        <v>1.4039613568624554</v>
      </c>
      <c r="F48" s="181">
        <v>1.5067687953830335</v>
      </c>
      <c r="G48" s="186">
        <v>1.6095762339036117</v>
      </c>
      <c r="H48" s="186">
        <v>1.7123836724241901</v>
      </c>
      <c r="I48" s="186">
        <v>1.8151911109447685</v>
      </c>
      <c r="J48" s="186">
        <v>1.9179985494653466</v>
      </c>
      <c r="K48" s="186">
        <v>2.0208059879859248</v>
      </c>
      <c r="L48" s="186">
        <v>2.1236134265065032</v>
      </c>
      <c r="M48" s="186">
        <v>2.2264208650270816</v>
      </c>
      <c r="N48" s="168">
        <v>2.3292283035476591</v>
      </c>
    </row>
    <row r="49" spans="2:14">
      <c r="B49" s="870"/>
      <c r="C49" s="185">
        <v>0.6</v>
      </c>
      <c r="D49" s="181">
        <v>1.2478314662406951</v>
      </c>
      <c r="E49" s="181">
        <v>1.3464257639184554</v>
      </c>
      <c r="F49" s="181">
        <v>1.4450200615962157</v>
      </c>
      <c r="G49" s="186">
        <v>1.5436143592739759</v>
      </c>
      <c r="H49" s="186">
        <v>1.6422086569517362</v>
      </c>
      <c r="I49" s="186">
        <v>1.7408029546294967</v>
      </c>
      <c r="J49" s="186">
        <v>1.839397252307257</v>
      </c>
      <c r="K49" s="186">
        <v>1.9379915499850173</v>
      </c>
      <c r="L49" s="186">
        <v>2.0365858476627774</v>
      </c>
      <c r="M49" s="186">
        <v>2.1351801453405379</v>
      </c>
      <c r="N49" s="168">
        <v>2.233774443018298</v>
      </c>
    </row>
    <row r="50" spans="2:14">
      <c r="B50" s="870"/>
      <c r="C50" s="185">
        <v>0.7</v>
      </c>
      <c r="D50" s="181">
        <v>1.1987073655616984</v>
      </c>
      <c r="E50" s="181">
        <v>1.293420244685326</v>
      </c>
      <c r="F50" s="181">
        <v>1.3881331238089534</v>
      </c>
      <c r="G50" s="186">
        <v>1.4828460029325812</v>
      </c>
      <c r="H50" s="186">
        <v>1.5775588820562088</v>
      </c>
      <c r="I50" s="186">
        <v>1.6722717611798363</v>
      </c>
      <c r="J50" s="186">
        <v>1.7669846403034641</v>
      </c>
      <c r="K50" s="186">
        <v>1.8616975194270915</v>
      </c>
      <c r="L50" s="186">
        <v>1.9564103985507191</v>
      </c>
      <c r="M50" s="186">
        <v>2.0511232776743467</v>
      </c>
      <c r="N50" s="168">
        <v>2.1458361567979742</v>
      </c>
    </row>
    <row r="51" spans="2:14">
      <c r="B51" s="870"/>
      <c r="C51" s="185">
        <v>0.8</v>
      </c>
      <c r="D51" s="181">
        <v>1.1533045600898326</v>
      </c>
      <c r="E51" s="181">
        <v>1.244430049538487</v>
      </c>
      <c r="F51" s="181">
        <v>1.3355555389871412</v>
      </c>
      <c r="G51" s="186">
        <v>1.4266810284357956</v>
      </c>
      <c r="H51" s="186">
        <v>1.5178065178844502</v>
      </c>
      <c r="I51" s="186">
        <v>1.6089320073331046</v>
      </c>
      <c r="J51" s="186">
        <v>1.700057496781759</v>
      </c>
      <c r="K51" s="186">
        <v>1.7911829862304132</v>
      </c>
      <c r="L51" s="186">
        <v>1.8823084756790676</v>
      </c>
      <c r="M51" s="186">
        <v>1.973433965127722</v>
      </c>
      <c r="N51" s="168">
        <v>2.0645594545763761</v>
      </c>
    </row>
    <row r="52" spans="2:14">
      <c r="B52" s="870"/>
      <c r="C52" s="185">
        <v>0.9</v>
      </c>
      <c r="D52" s="181">
        <v>1.1112156327498426</v>
      </c>
      <c r="E52" s="181">
        <v>1.1990155703564693</v>
      </c>
      <c r="F52" s="181">
        <v>1.2868155079630961</v>
      </c>
      <c r="G52" s="186">
        <v>1.374615445569723</v>
      </c>
      <c r="H52" s="186">
        <v>1.46241538317635</v>
      </c>
      <c r="I52" s="186">
        <v>1.550215320782977</v>
      </c>
      <c r="J52" s="186">
        <v>1.6380152583896039</v>
      </c>
      <c r="K52" s="186">
        <v>1.7258151959962307</v>
      </c>
      <c r="L52" s="186">
        <v>1.8136151336028576</v>
      </c>
      <c r="M52" s="186">
        <v>1.9014150712094844</v>
      </c>
      <c r="N52" s="168">
        <v>1.9892150088161109</v>
      </c>
    </row>
    <row r="53" spans="2:14">
      <c r="B53" s="871"/>
      <c r="C53" s="191">
        <v>1</v>
      </c>
      <c r="D53" s="188">
        <v>1.0720905458912653</v>
      </c>
      <c r="E53" s="188">
        <v>1.1567991121350398</v>
      </c>
      <c r="F53" s="188">
        <v>1.2415076783788139</v>
      </c>
      <c r="G53" s="189">
        <v>1.3262162446225882</v>
      </c>
      <c r="H53" s="189">
        <v>1.4109248108663628</v>
      </c>
      <c r="I53" s="189">
        <v>1.4956333771101371</v>
      </c>
      <c r="J53" s="189">
        <v>1.5803419433539114</v>
      </c>
      <c r="K53" s="189">
        <v>1.6650505095976857</v>
      </c>
      <c r="L53" s="189">
        <v>1.7497590758414601</v>
      </c>
      <c r="M53" s="189">
        <v>1.8344676420852344</v>
      </c>
      <c r="N53" s="169">
        <v>1.9191762083290085</v>
      </c>
    </row>
  </sheetData>
  <mergeCells count="10">
    <mergeCell ref="D25:N25"/>
    <mergeCell ref="B27:B37"/>
    <mergeCell ref="D41:N41"/>
    <mergeCell ref="B43:B53"/>
    <mergeCell ref="Q5:R5"/>
    <mergeCell ref="N5:O5"/>
    <mergeCell ref="K5:L5"/>
    <mergeCell ref="B5:C5"/>
    <mergeCell ref="H5:I5"/>
    <mergeCell ref="E5:F5"/>
  </mergeCells>
  <conditionalFormatting sqref="D27:N37">
    <cfRule type="colorScale" priority="2">
      <colorScale>
        <cfvo type="min"/>
        <cfvo type="num" val="1"/>
        <cfvo type="max"/>
        <color rgb="FFF8696B"/>
        <color rgb="FFFFEB84"/>
        <color rgb="FF63BE7B"/>
      </colorScale>
    </cfRule>
  </conditionalFormatting>
  <conditionalFormatting sqref="D43:N53">
    <cfRule type="colorScale" priority="1">
      <colorScale>
        <cfvo type="min"/>
        <cfvo type="num" val="1"/>
        <cfvo type="max"/>
        <color rgb="FFF8696B"/>
        <color rgb="FFFFEB84"/>
        <color rgb="FF63BE7B"/>
      </colorScale>
    </cfRule>
  </conditionalFormatting>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árok22">
    <tabColor rgb="FFFFFFCC"/>
  </sheetPr>
  <dimension ref="A1:I138"/>
  <sheetViews>
    <sheetView view="pageBreakPreview" zoomScale="80" zoomScaleNormal="80" zoomScaleSheetLayoutView="80" workbookViewId="0">
      <selection activeCell="S53" sqref="S53"/>
    </sheetView>
  </sheetViews>
  <sheetFormatPr defaultColWidth="8.7109375" defaultRowHeight="15"/>
  <cols>
    <col min="1" max="1" width="26" customWidth="1"/>
    <col min="2" max="2" width="11.42578125" customWidth="1"/>
    <col min="4" max="4" width="20.7109375" customWidth="1"/>
    <col min="6" max="8" width="12.42578125" bestFit="1" customWidth="1"/>
    <col min="9" max="9" width="13.140625" bestFit="1" customWidth="1"/>
  </cols>
  <sheetData>
    <row r="1" spans="1:9" ht="15.75" thickBot="1"/>
    <row r="2" spans="1:9">
      <c r="A2" s="880" t="str">
        <f>'Parametre - Agendové IS'!G2</f>
        <v>Centrálny informačný systém na riadenie IT aktív</v>
      </c>
      <c r="B2" s="881"/>
      <c r="C2" s="882"/>
      <c r="D2" s="886" t="s">
        <v>102</v>
      </c>
      <c r="E2" s="887"/>
      <c r="F2" s="235" t="s">
        <v>122</v>
      </c>
      <c r="G2" s="235" t="s">
        <v>123</v>
      </c>
      <c r="H2" s="235" t="s">
        <v>124</v>
      </c>
      <c r="I2" s="235" t="s">
        <v>126</v>
      </c>
    </row>
    <row r="3" spans="1:9" ht="15.75" thickBot="1">
      <c r="A3" s="883"/>
      <c r="B3" s="884"/>
      <c r="C3" s="885"/>
      <c r="D3" s="334" t="s">
        <v>254</v>
      </c>
      <c r="E3" s="335" t="s">
        <v>125</v>
      </c>
      <c r="F3" s="132" t="s">
        <v>125</v>
      </c>
      <c r="G3" s="132" t="s">
        <v>125</v>
      </c>
      <c r="H3" s="132" t="s">
        <v>125</v>
      </c>
      <c r="I3" s="132" t="s">
        <v>125</v>
      </c>
    </row>
    <row r="4" spans="1:9" ht="15" customHeight="1">
      <c r="A4" s="761" t="s">
        <v>43</v>
      </c>
      <c r="B4" s="877" t="s">
        <v>143</v>
      </c>
      <c r="C4" s="133" t="s">
        <v>25</v>
      </c>
      <c r="D4" s="336" t="str">
        <f>IF(E4='Parametre - Agendové IS'!H86,"OK","Chyba počtu FTE")</f>
        <v>Chyba počtu FTE</v>
      </c>
      <c r="E4" s="337">
        <f t="shared" ref="E4:E33" si="0">F4+G4+H4+I4</f>
        <v>0</v>
      </c>
      <c r="F4" s="193"/>
      <c r="G4" s="193"/>
      <c r="H4" s="193"/>
      <c r="I4" s="193"/>
    </row>
    <row r="5" spans="1:9">
      <c r="A5" s="876"/>
      <c r="B5" s="878"/>
      <c r="C5" s="130" t="s">
        <v>26</v>
      </c>
      <c r="D5" s="338" t="str">
        <f>IF(E5='Parametre - Agendové IS'!H87,"OK","Chyba počtu FTE")</f>
        <v>Chyba počtu FTE</v>
      </c>
      <c r="E5" s="339">
        <f t="shared" si="0"/>
        <v>0</v>
      </c>
      <c r="F5" s="194"/>
      <c r="G5" s="194"/>
      <c r="H5" s="194"/>
      <c r="I5" s="194"/>
    </row>
    <row r="6" spans="1:9">
      <c r="A6" s="876"/>
      <c r="B6" s="878"/>
      <c r="C6" s="130" t="s">
        <v>27</v>
      </c>
      <c r="D6" s="338" t="str">
        <f>IF(E6='Parametre - Agendové IS'!H88,"OK","Chyba počtu FTE")</f>
        <v>Chyba počtu FTE</v>
      </c>
      <c r="E6" s="339">
        <f t="shared" si="0"/>
        <v>0</v>
      </c>
      <c r="F6" s="194"/>
      <c r="G6" s="194"/>
      <c r="H6" s="194"/>
      <c r="I6" s="194"/>
    </row>
    <row r="7" spans="1:9">
      <c r="A7" s="876"/>
      <c r="B7" s="878"/>
      <c r="C7" s="130" t="s">
        <v>28</v>
      </c>
      <c r="D7" s="338" t="str">
        <f>IF(E7='Parametre - Agendové IS'!H89,"OK","Chyba počtu FTE")</f>
        <v>Chyba počtu FTE</v>
      </c>
      <c r="E7" s="339">
        <f t="shared" si="0"/>
        <v>0</v>
      </c>
      <c r="F7" s="194"/>
      <c r="G7" s="194"/>
      <c r="H7" s="194"/>
      <c r="I7" s="194"/>
    </row>
    <row r="8" spans="1:9">
      <c r="A8" s="876"/>
      <c r="B8" s="878"/>
      <c r="C8" s="130" t="s">
        <v>29</v>
      </c>
      <c r="D8" s="338" t="str">
        <f>IF(E8='Parametre - Agendové IS'!H90,"OK","Chyba počtu FTE")</f>
        <v>Chyba počtu FTE</v>
      </c>
      <c r="E8" s="339">
        <f t="shared" si="0"/>
        <v>0</v>
      </c>
      <c r="F8" s="194"/>
      <c r="G8" s="194"/>
      <c r="H8" s="194"/>
      <c r="I8" s="194"/>
    </row>
    <row r="9" spans="1:9">
      <c r="A9" s="876"/>
      <c r="B9" s="878"/>
      <c r="C9" s="130" t="s">
        <v>30</v>
      </c>
      <c r="D9" s="338" t="str">
        <f>IF(E9='Parametre - Agendové IS'!H91,"OK","Chyba počtu FTE")</f>
        <v>Chyba počtu FTE</v>
      </c>
      <c r="E9" s="339">
        <f t="shared" si="0"/>
        <v>0</v>
      </c>
      <c r="F9" s="194"/>
      <c r="G9" s="194"/>
      <c r="H9" s="194"/>
      <c r="I9" s="194"/>
    </row>
    <row r="10" spans="1:9">
      <c r="A10" s="876"/>
      <c r="B10" s="878"/>
      <c r="C10" s="130" t="s">
        <v>31</v>
      </c>
      <c r="D10" s="338" t="str">
        <f>IF(E10='Parametre - Agendové IS'!H92,"OK","Chyba počtu FTE")</f>
        <v>Chyba počtu FTE</v>
      </c>
      <c r="E10" s="339">
        <f t="shared" si="0"/>
        <v>0</v>
      </c>
      <c r="F10" s="194"/>
      <c r="G10" s="194"/>
      <c r="H10" s="194"/>
      <c r="I10" s="194"/>
    </row>
    <row r="11" spans="1:9">
      <c r="A11" s="876"/>
      <c r="B11" s="878"/>
      <c r="C11" s="130" t="s">
        <v>32</v>
      </c>
      <c r="D11" s="338" t="str">
        <f>IF(E11='Parametre - Agendové IS'!H93,"OK","Chyba počtu FTE")</f>
        <v>Chyba počtu FTE</v>
      </c>
      <c r="E11" s="339">
        <f t="shared" si="0"/>
        <v>0</v>
      </c>
      <c r="F11" s="194"/>
      <c r="G11" s="194"/>
      <c r="H11" s="194"/>
      <c r="I11" s="194"/>
    </row>
    <row r="12" spans="1:9">
      <c r="A12" s="876"/>
      <c r="B12" s="878"/>
      <c r="C12" s="130" t="s">
        <v>33</v>
      </c>
      <c r="D12" s="338" t="str">
        <f>IF(E12='Parametre - Agendové IS'!H94,"OK","Chyba počtu FTE")</f>
        <v>Chyba počtu FTE</v>
      </c>
      <c r="E12" s="339">
        <f t="shared" si="0"/>
        <v>0</v>
      </c>
      <c r="F12" s="194"/>
      <c r="G12" s="194"/>
      <c r="H12" s="194"/>
      <c r="I12" s="194"/>
    </row>
    <row r="13" spans="1:9" ht="15.75" thickBot="1">
      <c r="A13" s="876"/>
      <c r="B13" s="878"/>
      <c r="C13" s="130" t="s">
        <v>34</v>
      </c>
      <c r="D13" s="340" t="str">
        <f>IF(E13='Parametre - Agendové IS'!H95,"OK","Chyba počtu FTE")</f>
        <v>Chyba počtu FTE</v>
      </c>
      <c r="E13" s="341">
        <f t="shared" si="0"/>
        <v>0</v>
      </c>
      <c r="F13" s="195"/>
      <c r="G13" s="195"/>
      <c r="H13" s="195"/>
      <c r="I13" s="195"/>
    </row>
    <row r="14" spans="1:9" ht="15" customHeight="1">
      <c r="A14" s="761" t="s">
        <v>41</v>
      </c>
      <c r="B14" s="877" t="s">
        <v>37</v>
      </c>
      <c r="C14" s="133" t="s">
        <v>25</v>
      </c>
      <c r="D14" s="337" t="str">
        <f>IF(E14='Parametre - Agendové IS'!H5,"OK","Chyba počtu podaní")</f>
        <v>Chyba počtu podaní</v>
      </c>
      <c r="E14" s="342">
        <f t="shared" si="0"/>
        <v>0</v>
      </c>
      <c r="F14" s="193"/>
      <c r="G14" s="193"/>
      <c r="H14" s="193"/>
      <c r="I14" s="193"/>
    </row>
    <row r="15" spans="1:9">
      <c r="A15" s="876"/>
      <c r="B15" s="878"/>
      <c r="C15" s="130" t="s">
        <v>26</v>
      </c>
      <c r="D15" s="338" t="str">
        <f>IF(E15='Parametre - Agendové IS'!H6,"OK","Chyba počtu podaní")</f>
        <v>Chyba počtu podaní</v>
      </c>
      <c r="E15" s="339">
        <f t="shared" si="0"/>
        <v>0</v>
      </c>
      <c r="F15" s="194"/>
      <c r="G15" s="194"/>
      <c r="H15" s="194"/>
      <c r="I15" s="194"/>
    </row>
    <row r="16" spans="1:9">
      <c r="A16" s="876"/>
      <c r="B16" s="878"/>
      <c r="C16" s="130" t="s">
        <v>27</v>
      </c>
      <c r="D16" s="338" t="str">
        <f>IF(E16='Parametre - Agendové IS'!H7,"OK","Chyba počtu podaní")</f>
        <v>Chyba počtu podaní</v>
      </c>
      <c r="E16" s="339">
        <f t="shared" si="0"/>
        <v>0</v>
      </c>
      <c r="F16" s="194"/>
      <c r="G16" s="194"/>
      <c r="H16" s="194"/>
      <c r="I16" s="194"/>
    </row>
    <row r="17" spans="1:9">
      <c r="A17" s="876"/>
      <c r="B17" s="878"/>
      <c r="C17" s="130" t="s">
        <v>28</v>
      </c>
      <c r="D17" s="338" t="str">
        <f>IF(E17='Parametre - Agendové IS'!H8,"OK","Chyba počtu podaní")</f>
        <v>Chyba počtu podaní</v>
      </c>
      <c r="E17" s="339">
        <f t="shared" si="0"/>
        <v>0</v>
      </c>
      <c r="F17" s="194"/>
      <c r="G17" s="194"/>
      <c r="H17" s="194"/>
      <c r="I17" s="194"/>
    </row>
    <row r="18" spans="1:9">
      <c r="A18" s="876"/>
      <c r="B18" s="878"/>
      <c r="C18" s="130" t="s">
        <v>29</v>
      </c>
      <c r="D18" s="338" t="str">
        <f>IF(E18='Parametre - Agendové IS'!H9,"OK","Chyba počtu podaní")</f>
        <v>Chyba počtu podaní</v>
      </c>
      <c r="E18" s="339">
        <f t="shared" si="0"/>
        <v>0</v>
      </c>
      <c r="F18" s="194"/>
      <c r="G18" s="194"/>
      <c r="H18" s="194"/>
      <c r="I18" s="194"/>
    </row>
    <row r="19" spans="1:9">
      <c r="A19" s="876"/>
      <c r="B19" s="878"/>
      <c r="C19" s="130" t="s">
        <v>30</v>
      </c>
      <c r="D19" s="338" t="str">
        <f>IF(E19='Parametre - Agendové IS'!H10,"OK","Chyba počtu podaní")</f>
        <v>Chyba počtu podaní</v>
      </c>
      <c r="E19" s="339">
        <f t="shared" si="0"/>
        <v>0</v>
      </c>
      <c r="F19" s="194"/>
      <c r="G19" s="194"/>
      <c r="H19" s="194"/>
      <c r="I19" s="194"/>
    </row>
    <row r="20" spans="1:9">
      <c r="A20" s="876"/>
      <c r="B20" s="878"/>
      <c r="C20" s="130" t="s">
        <v>31</v>
      </c>
      <c r="D20" s="338" t="str">
        <f>IF(E20='Parametre - Agendové IS'!H11,"OK","Chyba počtu podaní")</f>
        <v>Chyba počtu podaní</v>
      </c>
      <c r="E20" s="339">
        <f t="shared" si="0"/>
        <v>0</v>
      </c>
      <c r="F20" s="194"/>
      <c r="G20" s="194"/>
      <c r="H20" s="194"/>
      <c r="I20" s="194"/>
    </row>
    <row r="21" spans="1:9">
      <c r="A21" s="876"/>
      <c r="B21" s="878"/>
      <c r="C21" s="130" t="s">
        <v>32</v>
      </c>
      <c r="D21" s="338" t="str">
        <f>IF(E21='Parametre - Agendové IS'!H12,"OK","Chyba počtu podaní")</f>
        <v>Chyba počtu podaní</v>
      </c>
      <c r="E21" s="339">
        <f t="shared" si="0"/>
        <v>0</v>
      </c>
      <c r="F21" s="194"/>
      <c r="G21" s="194"/>
      <c r="H21" s="194"/>
      <c r="I21" s="194"/>
    </row>
    <row r="22" spans="1:9">
      <c r="A22" s="876"/>
      <c r="B22" s="878"/>
      <c r="C22" s="130" t="s">
        <v>33</v>
      </c>
      <c r="D22" s="338" t="str">
        <f>IF(E22='Parametre - Agendové IS'!H13,"OK","Chyba počtu podaní")</f>
        <v>Chyba počtu podaní</v>
      </c>
      <c r="E22" s="339">
        <f t="shared" si="0"/>
        <v>0</v>
      </c>
      <c r="F22" s="194"/>
      <c r="G22" s="194"/>
      <c r="H22" s="194"/>
      <c r="I22" s="194"/>
    </row>
    <row r="23" spans="1:9" ht="15.75" thickBot="1">
      <c r="A23" s="763"/>
      <c r="B23" s="879"/>
      <c r="C23" s="131" t="s">
        <v>34</v>
      </c>
      <c r="D23" s="338" t="str">
        <f>IF(E23='Parametre - Agendové IS'!H14,"OK","Chyba počtu podaní")</f>
        <v>Chyba počtu podaní</v>
      </c>
      <c r="E23" s="339">
        <f t="shared" si="0"/>
        <v>0</v>
      </c>
      <c r="F23" s="194"/>
      <c r="G23" s="194"/>
      <c r="H23" s="194"/>
      <c r="I23" s="194"/>
    </row>
    <row r="24" spans="1:9">
      <c r="A24" s="761" t="s">
        <v>39</v>
      </c>
      <c r="B24" s="877" t="s">
        <v>13</v>
      </c>
      <c r="C24" s="133" t="s">
        <v>25</v>
      </c>
      <c r="D24" s="337" t="str">
        <f>IF(E24='Parametre - Agendové IS'!H126,"OK","Chyba")</f>
        <v>OK</v>
      </c>
      <c r="E24" s="342">
        <f t="shared" si="0"/>
        <v>0</v>
      </c>
      <c r="F24" s="193"/>
      <c r="G24" s="193"/>
      <c r="H24" s="193"/>
      <c r="I24" s="193"/>
    </row>
    <row r="25" spans="1:9">
      <c r="A25" s="876"/>
      <c r="B25" s="878"/>
      <c r="C25" s="130" t="s">
        <v>26</v>
      </c>
      <c r="D25" s="338" t="str">
        <f>IF(E25='Parametre - Agendové IS'!H127,"OK","Chyba")</f>
        <v>OK</v>
      </c>
      <c r="E25" s="339">
        <f t="shared" si="0"/>
        <v>0</v>
      </c>
      <c r="F25" s="194"/>
      <c r="G25" s="194"/>
      <c r="H25" s="194"/>
      <c r="I25" s="194"/>
    </row>
    <row r="26" spans="1:9">
      <c r="A26" s="876"/>
      <c r="B26" s="878"/>
      <c r="C26" s="130" t="s">
        <v>27</v>
      </c>
      <c r="D26" s="338" t="str">
        <f>IF(E26='Parametre - Agendové IS'!H128,"OK","Chyba")</f>
        <v>OK</v>
      </c>
      <c r="E26" s="339">
        <f t="shared" si="0"/>
        <v>0</v>
      </c>
      <c r="F26" s="194"/>
      <c r="G26" s="194"/>
      <c r="H26" s="194"/>
      <c r="I26" s="194"/>
    </row>
    <row r="27" spans="1:9">
      <c r="A27" s="876"/>
      <c r="B27" s="878"/>
      <c r="C27" s="130" t="s">
        <v>28</v>
      </c>
      <c r="D27" s="338" t="str">
        <f>IF(E27='Parametre - Agendové IS'!H129,"OK","Chyba")</f>
        <v>OK</v>
      </c>
      <c r="E27" s="339">
        <f t="shared" si="0"/>
        <v>0</v>
      </c>
      <c r="F27" s="194"/>
      <c r="G27" s="194"/>
      <c r="H27" s="194"/>
      <c r="I27" s="194"/>
    </row>
    <row r="28" spans="1:9">
      <c r="A28" s="876"/>
      <c r="B28" s="878"/>
      <c r="C28" s="130" t="s">
        <v>29</v>
      </c>
      <c r="D28" s="338" t="str">
        <f>IF(E28='Parametre - Agendové IS'!H130,"OK","Chyba")</f>
        <v>OK</v>
      </c>
      <c r="E28" s="339">
        <f t="shared" si="0"/>
        <v>0</v>
      </c>
      <c r="F28" s="194"/>
      <c r="G28" s="194"/>
      <c r="H28" s="194"/>
      <c r="I28" s="194"/>
    </row>
    <row r="29" spans="1:9">
      <c r="A29" s="876"/>
      <c r="B29" s="878"/>
      <c r="C29" s="130" t="s">
        <v>30</v>
      </c>
      <c r="D29" s="338" t="str">
        <f>IF(E29='Parametre - Agendové IS'!H131,"OK","Chyba")</f>
        <v>OK</v>
      </c>
      <c r="E29" s="339">
        <f t="shared" si="0"/>
        <v>0</v>
      </c>
      <c r="F29" s="194"/>
      <c r="G29" s="194"/>
      <c r="H29" s="194"/>
      <c r="I29" s="194"/>
    </row>
    <row r="30" spans="1:9">
      <c r="A30" s="876"/>
      <c r="B30" s="878"/>
      <c r="C30" s="130" t="s">
        <v>31</v>
      </c>
      <c r="D30" s="338" t="str">
        <f>IF(E30='Parametre - Agendové IS'!H132,"OK","Chyba")</f>
        <v>OK</v>
      </c>
      <c r="E30" s="339">
        <f t="shared" si="0"/>
        <v>0</v>
      </c>
      <c r="F30" s="194"/>
      <c r="G30" s="194"/>
      <c r="H30" s="194"/>
      <c r="I30" s="194"/>
    </row>
    <row r="31" spans="1:9">
      <c r="A31" s="876"/>
      <c r="B31" s="878"/>
      <c r="C31" s="130" t="s">
        <v>32</v>
      </c>
      <c r="D31" s="338" t="str">
        <f>IF(E31='Parametre - Agendové IS'!H133,"OK","Chyba")</f>
        <v>OK</v>
      </c>
      <c r="E31" s="339">
        <f t="shared" si="0"/>
        <v>0</v>
      </c>
      <c r="F31" s="194"/>
      <c r="G31" s="194"/>
      <c r="H31" s="194"/>
      <c r="I31" s="194"/>
    </row>
    <row r="32" spans="1:9">
      <c r="A32" s="876"/>
      <c r="B32" s="878"/>
      <c r="C32" s="130" t="s">
        <v>33</v>
      </c>
      <c r="D32" s="338" t="str">
        <f>IF(E32='Parametre - Agendové IS'!H134,"OK","Chyba")</f>
        <v>OK</v>
      </c>
      <c r="E32" s="339">
        <f t="shared" si="0"/>
        <v>0</v>
      </c>
      <c r="F32" s="194"/>
      <c r="G32" s="194"/>
      <c r="H32" s="194"/>
      <c r="I32" s="194"/>
    </row>
    <row r="33" spans="1:9" ht="15.75" thickBot="1">
      <c r="A33" s="763"/>
      <c r="B33" s="879"/>
      <c r="C33" s="131" t="s">
        <v>34</v>
      </c>
      <c r="D33" s="338" t="str">
        <f>IF(E33='Parametre - Agendové IS'!H135,"OK","Chyba")</f>
        <v>OK</v>
      </c>
      <c r="E33" s="339">
        <f t="shared" si="0"/>
        <v>0</v>
      </c>
      <c r="F33" s="194"/>
      <c r="G33" s="194"/>
      <c r="H33" s="194"/>
      <c r="I33" s="194"/>
    </row>
    <row r="34" spans="1:9">
      <c r="A34" s="128"/>
      <c r="B34" s="129"/>
    </row>
    <row r="35" spans="1:9">
      <c r="A35" s="128"/>
      <c r="B35" s="129"/>
    </row>
    <row r="36" spans="1:9" ht="15.75" thickBot="1">
      <c r="A36" s="128"/>
      <c r="B36" s="129"/>
    </row>
    <row r="37" spans="1:9">
      <c r="A37" s="880">
        <f>'Parametre - Agendové IS'!BI2</f>
        <v>0</v>
      </c>
      <c r="B37" s="881"/>
      <c r="C37" s="882"/>
      <c r="D37" s="886" t="s">
        <v>102</v>
      </c>
      <c r="E37" s="887"/>
      <c r="F37" s="235" t="s">
        <v>122</v>
      </c>
      <c r="G37" s="235" t="s">
        <v>123</v>
      </c>
      <c r="H37" s="235" t="s">
        <v>124</v>
      </c>
      <c r="I37" s="235" t="s">
        <v>126</v>
      </c>
    </row>
    <row r="38" spans="1:9" ht="15.75" thickBot="1">
      <c r="A38" s="883"/>
      <c r="B38" s="884"/>
      <c r="C38" s="885"/>
      <c r="D38" s="334" t="s">
        <v>254</v>
      </c>
      <c r="E38" s="335" t="s">
        <v>125</v>
      </c>
      <c r="F38" s="132" t="s">
        <v>125</v>
      </c>
      <c r="G38" s="132" t="s">
        <v>125</v>
      </c>
      <c r="H38" s="132" t="s">
        <v>125</v>
      </c>
      <c r="I38" s="132" t="s">
        <v>125</v>
      </c>
    </row>
    <row r="39" spans="1:9">
      <c r="A39" s="761" t="s">
        <v>43</v>
      </c>
      <c r="B39" s="877" t="s">
        <v>143</v>
      </c>
      <c r="C39" s="133" t="s">
        <v>25</v>
      </c>
      <c r="D39" s="336" t="str">
        <f>IF(E39='Parametre - Agendové IS'!BJ86,"OK","Chyba počtu FTE")</f>
        <v>OK</v>
      </c>
      <c r="E39" s="337">
        <f t="shared" ref="E39:E68" si="1">F39+G39+H39+I39</f>
        <v>0</v>
      </c>
      <c r="F39" s="193"/>
      <c r="G39" s="193"/>
      <c r="H39" s="193"/>
      <c r="I39" s="193"/>
    </row>
    <row r="40" spans="1:9">
      <c r="A40" s="876"/>
      <c r="B40" s="878"/>
      <c r="C40" s="130" t="s">
        <v>26</v>
      </c>
      <c r="D40" s="338" t="str">
        <f>IF(E40='Parametre - Agendové IS'!BJ87,"OK","Chyba počtu FTE")</f>
        <v>OK</v>
      </c>
      <c r="E40" s="339">
        <f t="shared" si="1"/>
        <v>0</v>
      </c>
      <c r="F40" s="194"/>
      <c r="G40" s="194"/>
      <c r="H40" s="194"/>
      <c r="I40" s="194"/>
    </row>
    <row r="41" spans="1:9">
      <c r="A41" s="876"/>
      <c r="B41" s="878"/>
      <c r="C41" s="130" t="s">
        <v>27</v>
      </c>
      <c r="D41" s="338" t="str">
        <f>IF(E41='Parametre - Agendové IS'!BJ88,"OK","Chyba počtu FTE")</f>
        <v>OK</v>
      </c>
      <c r="E41" s="339">
        <f t="shared" si="1"/>
        <v>0</v>
      </c>
      <c r="F41" s="194"/>
      <c r="G41" s="194"/>
      <c r="H41" s="194"/>
      <c r="I41" s="194"/>
    </row>
    <row r="42" spans="1:9">
      <c r="A42" s="876"/>
      <c r="B42" s="878"/>
      <c r="C42" s="130" t="s">
        <v>28</v>
      </c>
      <c r="D42" s="338" t="str">
        <f>IF(E42='Parametre - Agendové IS'!BJ89,"OK","Chyba počtu FTE")</f>
        <v>OK</v>
      </c>
      <c r="E42" s="339">
        <f t="shared" si="1"/>
        <v>0</v>
      </c>
      <c r="F42" s="194"/>
      <c r="G42" s="194"/>
      <c r="H42" s="194"/>
      <c r="I42" s="194"/>
    </row>
    <row r="43" spans="1:9">
      <c r="A43" s="876"/>
      <c r="B43" s="878"/>
      <c r="C43" s="130" t="s">
        <v>29</v>
      </c>
      <c r="D43" s="338" t="str">
        <f>IF(E43='Parametre - Agendové IS'!BJ90,"OK","Chyba počtu FTE")</f>
        <v>OK</v>
      </c>
      <c r="E43" s="339">
        <f t="shared" si="1"/>
        <v>0</v>
      </c>
      <c r="F43" s="194"/>
      <c r="G43" s="194"/>
      <c r="H43" s="194"/>
      <c r="I43" s="194"/>
    </row>
    <row r="44" spans="1:9" ht="15" customHeight="1">
      <c r="A44" s="876"/>
      <c r="B44" s="878"/>
      <c r="C44" s="130" t="s">
        <v>30</v>
      </c>
      <c r="D44" s="338" t="str">
        <f>IF(E44='Parametre - Agendové IS'!BJ91,"OK","Chyba počtu FTE")</f>
        <v>OK</v>
      </c>
      <c r="E44" s="339">
        <f t="shared" si="1"/>
        <v>0</v>
      </c>
      <c r="F44" s="194"/>
      <c r="G44" s="194"/>
      <c r="H44" s="194"/>
      <c r="I44" s="194"/>
    </row>
    <row r="45" spans="1:9">
      <c r="A45" s="876"/>
      <c r="B45" s="878"/>
      <c r="C45" s="130" t="s">
        <v>31</v>
      </c>
      <c r="D45" s="338" t="str">
        <f>IF(E45='Parametre - Agendové IS'!BJ92,"OK","Chyba počtu FTE")</f>
        <v>OK</v>
      </c>
      <c r="E45" s="339">
        <f t="shared" si="1"/>
        <v>0</v>
      </c>
      <c r="F45" s="194"/>
      <c r="G45" s="194"/>
      <c r="H45" s="194"/>
      <c r="I45" s="194"/>
    </row>
    <row r="46" spans="1:9">
      <c r="A46" s="876"/>
      <c r="B46" s="878"/>
      <c r="C46" s="130" t="s">
        <v>32</v>
      </c>
      <c r="D46" s="338" t="str">
        <f>IF(E46='Parametre - Agendové IS'!BJ93,"OK","Chyba počtu FTE")</f>
        <v>OK</v>
      </c>
      <c r="E46" s="339">
        <f t="shared" si="1"/>
        <v>0</v>
      </c>
      <c r="F46" s="194"/>
      <c r="G46" s="194"/>
      <c r="H46" s="194"/>
      <c r="I46" s="194"/>
    </row>
    <row r="47" spans="1:9">
      <c r="A47" s="876"/>
      <c r="B47" s="878"/>
      <c r="C47" s="130" t="s">
        <v>33</v>
      </c>
      <c r="D47" s="338" t="str">
        <f>IF(E47='Parametre - Agendové IS'!BJ94,"OK","Chyba počtu FTE")</f>
        <v>OK</v>
      </c>
      <c r="E47" s="339">
        <f t="shared" si="1"/>
        <v>0</v>
      </c>
      <c r="F47" s="194"/>
      <c r="G47" s="194"/>
      <c r="H47" s="194"/>
      <c r="I47" s="194"/>
    </row>
    <row r="48" spans="1:9" ht="15.75" thickBot="1">
      <c r="A48" s="876"/>
      <c r="B48" s="878"/>
      <c r="C48" s="130" t="s">
        <v>34</v>
      </c>
      <c r="D48" s="340" t="str">
        <f>IF(E48='Parametre - Agendové IS'!BJ95,"OK","Chyba počtu FTE")</f>
        <v>OK</v>
      </c>
      <c r="E48" s="341">
        <f t="shared" si="1"/>
        <v>0</v>
      </c>
      <c r="F48" s="195"/>
      <c r="G48" s="195"/>
      <c r="H48" s="195"/>
      <c r="I48" s="195"/>
    </row>
    <row r="49" spans="1:9">
      <c r="A49" s="761" t="s">
        <v>41</v>
      </c>
      <c r="B49" s="877" t="s">
        <v>37</v>
      </c>
      <c r="C49" s="133" t="s">
        <v>25</v>
      </c>
      <c r="D49" s="337" t="str">
        <f>IF(E49='Parametre - Agendové IS'!BJ5,"OK","Chyba počtu podaní")</f>
        <v>OK</v>
      </c>
      <c r="E49" s="342">
        <f t="shared" si="1"/>
        <v>0</v>
      </c>
      <c r="F49" s="193"/>
      <c r="G49" s="193"/>
      <c r="H49" s="193"/>
      <c r="I49" s="193"/>
    </row>
    <row r="50" spans="1:9">
      <c r="A50" s="876"/>
      <c r="B50" s="878"/>
      <c r="C50" s="130" t="s">
        <v>26</v>
      </c>
      <c r="D50" s="338" t="str">
        <f>IF(E50='Parametre - Agendové IS'!BJ6,"OK","Chyba počtu podaní")</f>
        <v>OK</v>
      </c>
      <c r="E50" s="339">
        <f t="shared" si="1"/>
        <v>0</v>
      </c>
      <c r="F50" s="194"/>
      <c r="G50" s="194"/>
      <c r="H50" s="194"/>
      <c r="I50" s="194"/>
    </row>
    <row r="51" spans="1:9">
      <c r="A51" s="876"/>
      <c r="B51" s="878"/>
      <c r="C51" s="130" t="s">
        <v>27</v>
      </c>
      <c r="D51" s="338" t="str">
        <f>IF(E51='Parametre - Agendové IS'!BJ7,"OK","Chyba počtu podaní")</f>
        <v>OK</v>
      </c>
      <c r="E51" s="339">
        <f t="shared" si="1"/>
        <v>0</v>
      </c>
      <c r="F51" s="194"/>
      <c r="G51" s="194"/>
      <c r="H51" s="194"/>
      <c r="I51" s="194"/>
    </row>
    <row r="52" spans="1:9">
      <c r="A52" s="876"/>
      <c r="B52" s="878"/>
      <c r="C52" s="130" t="s">
        <v>28</v>
      </c>
      <c r="D52" s="338" t="str">
        <f>IF(E52='Parametre - Agendové IS'!BJ8,"OK","Chyba počtu podaní")</f>
        <v>OK</v>
      </c>
      <c r="E52" s="339">
        <f t="shared" si="1"/>
        <v>0</v>
      </c>
      <c r="F52" s="194"/>
      <c r="G52" s="194"/>
      <c r="H52" s="194"/>
      <c r="I52" s="194"/>
    </row>
    <row r="53" spans="1:9">
      <c r="A53" s="876"/>
      <c r="B53" s="878"/>
      <c r="C53" s="130" t="s">
        <v>29</v>
      </c>
      <c r="D53" s="338" t="str">
        <f>IF(E53='Parametre - Agendové IS'!BJ9,"OK","Chyba počtu podaní")</f>
        <v>OK</v>
      </c>
      <c r="E53" s="339">
        <f t="shared" si="1"/>
        <v>0</v>
      </c>
      <c r="F53" s="194"/>
      <c r="G53" s="194"/>
      <c r="H53" s="194"/>
      <c r="I53" s="194"/>
    </row>
    <row r="54" spans="1:9">
      <c r="A54" s="876"/>
      <c r="B54" s="878"/>
      <c r="C54" s="130" t="s">
        <v>30</v>
      </c>
      <c r="D54" s="338" t="str">
        <f>IF(E54='Parametre - Agendové IS'!BJ10,"OK","Chyba počtu podaní")</f>
        <v>OK</v>
      </c>
      <c r="E54" s="339">
        <f t="shared" si="1"/>
        <v>0</v>
      </c>
      <c r="F54" s="194"/>
      <c r="G54" s="194"/>
      <c r="H54" s="194"/>
      <c r="I54" s="194"/>
    </row>
    <row r="55" spans="1:9">
      <c r="A55" s="876"/>
      <c r="B55" s="878"/>
      <c r="C55" s="130" t="s">
        <v>31</v>
      </c>
      <c r="D55" s="338" t="str">
        <f>IF(E55='Parametre - Agendové IS'!BJ11,"OK","Chyba počtu podaní")</f>
        <v>OK</v>
      </c>
      <c r="E55" s="339">
        <f t="shared" si="1"/>
        <v>0</v>
      </c>
      <c r="F55" s="194"/>
      <c r="G55" s="194"/>
      <c r="H55" s="194"/>
      <c r="I55" s="194"/>
    </row>
    <row r="56" spans="1:9">
      <c r="A56" s="876"/>
      <c r="B56" s="878"/>
      <c r="C56" s="130" t="s">
        <v>32</v>
      </c>
      <c r="D56" s="338" t="str">
        <f>IF(E56='Parametre - Agendové IS'!BJ12,"OK","Chyba počtu podaní")</f>
        <v>OK</v>
      </c>
      <c r="E56" s="339">
        <f t="shared" si="1"/>
        <v>0</v>
      </c>
      <c r="F56" s="194"/>
      <c r="G56" s="194"/>
      <c r="H56" s="194"/>
      <c r="I56" s="194"/>
    </row>
    <row r="57" spans="1:9">
      <c r="A57" s="876"/>
      <c r="B57" s="878"/>
      <c r="C57" s="130" t="s">
        <v>33</v>
      </c>
      <c r="D57" s="338" t="str">
        <f>IF(E57='Parametre - Agendové IS'!BJ13,"OK","Chyba počtu podaní")</f>
        <v>OK</v>
      </c>
      <c r="E57" s="339">
        <f t="shared" si="1"/>
        <v>0</v>
      </c>
      <c r="F57" s="194"/>
      <c r="G57" s="194"/>
      <c r="H57" s="194"/>
      <c r="I57" s="194"/>
    </row>
    <row r="58" spans="1:9" ht="15.75" thickBot="1">
      <c r="A58" s="763"/>
      <c r="B58" s="879"/>
      <c r="C58" s="131" t="s">
        <v>34</v>
      </c>
      <c r="D58" s="338" t="str">
        <f>IF(E58='Parametre - Agendové IS'!BJ14,"OK","Chyba počtu podaní")</f>
        <v>OK</v>
      </c>
      <c r="E58" s="339">
        <f t="shared" si="1"/>
        <v>0</v>
      </c>
      <c r="F58" s="194"/>
      <c r="G58" s="194"/>
      <c r="H58" s="194"/>
      <c r="I58" s="194"/>
    </row>
    <row r="59" spans="1:9">
      <c r="A59" s="761" t="s">
        <v>39</v>
      </c>
      <c r="B59" s="877" t="s">
        <v>13</v>
      </c>
      <c r="C59" s="133" t="s">
        <v>25</v>
      </c>
      <c r="D59" s="337" t="str">
        <f>IF(E59='Parametre - Agendové IS'!BJ126,"OK","Chyba")</f>
        <v>OK</v>
      </c>
      <c r="E59" s="342">
        <f t="shared" si="1"/>
        <v>0</v>
      </c>
      <c r="F59" s="193"/>
      <c r="G59" s="193"/>
      <c r="H59" s="193"/>
      <c r="I59" s="193"/>
    </row>
    <row r="60" spans="1:9">
      <c r="A60" s="876"/>
      <c r="B60" s="878"/>
      <c r="C60" s="130" t="s">
        <v>26</v>
      </c>
      <c r="D60" s="338" t="str">
        <f>IF(E60='Parametre - Agendové IS'!BJ127,"OK","Chyba")</f>
        <v>OK</v>
      </c>
      <c r="E60" s="339">
        <f t="shared" si="1"/>
        <v>0</v>
      </c>
      <c r="F60" s="194"/>
      <c r="G60" s="194"/>
      <c r="H60" s="194"/>
      <c r="I60" s="194"/>
    </row>
    <row r="61" spans="1:9">
      <c r="A61" s="876"/>
      <c r="B61" s="878"/>
      <c r="C61" s="130" t="s">
        <v>27</v>
      </c>
      <c r="D61" s="338" t="str">
        <f>IF(E61='Parametre - Agendové IS'!BJ128,"OK","Chyba")</f>
        <v>OK</v>
      </c>
      <c r="E61" s="339">
        <f t="shared" si="1"/>
        <v>0</v>
      </c>
      <c r="F61" s="194"/>
      <c r="G61" s="194"/>
      <c r="H61" s="194"/>
      <c r="I61" s="194"/>
    </row>
    <row r="62" spans="1:9">
      <c r="A62" s="876"/>
      <c r="B62" s="878"/>
      <c r="C62" s="130" t="s">
        <v>28</v>
      </c>
      <c r="D62" s="338" t="str">
        <f>IF(E62='Parametre - Agendové IS'!BJ129,"OK","Chyba")</f>
        <v>OK</v>
      </c>
      <c r="E62" s="339">
        <f t="shared" si="1"/>
        <v>0</v>
      </c>
      <c r="F62" s="194"/>
      <c r="G62" s="194"/>
      <c r="H62" s="194"/>
      <c r="I62" s="194"/>
    </row>
    <row r="63" spans="1:9">
      <c r="A63" s="876"/>
      <c r="B63" s="878"/>
      <c r="C63" s="130" t="s">
        <v>29</v>
      </c>
      <c r="D63" s="338" t="str">
        <f>IF(E63='Parametre - Agendové IS'!BJ130,"OK","Chyba")</f>
        <v>OK</v>
      </c>
      <c r="E63" s="339">
        <f t="shared" si="1"/>
        <v>0</v>
      </c>
      <c r="F63" s="194"/>
      <c r="G63" s="194"/>
      <c r="H63" s="194"/>
      <c r="I63" s="194"/>
    </row>
    <row r="64" spans="1:9">
      <c r="A64" s="876"/>
      <c r="B64" s="878"/>
      <c r="C64" s="130" t="s">
        <v>30</v>
      </c>
      <c r="D64" s="338" t="str">
        <f>IF(E64='Parametre - Agendové IS'!BJ131,"OK","Chyba")</f>
        <v>OK</v>
      </c>
      <c r="E64" s="339">
        <f t="shared" si="1"/>
        <v>0</v>
      </c>
      <c r="F64" s="194"/>
      <c r="G64" s="194"/>
      <c r="H64" s="194"/>
      <c r="I64" s="194"/>
    </row>
    <row r="65" spans="1:9">
      <c r="A65" s="876"/>
      <c r="B65" s="878"/>
      <c r="C65" s="130" t="s">
        <v>31</v>
      </c>
      <c r="D65" s="338" t="str">
        <f>IF(E65='Parametre - Agendové IS'!BJ132,"OK","Chyba")</f>
        <v>OK</v>
      </c>
      <c r="E65" s="339">
        <f t="shared" si="1"/>
        <v>0</v>
      </c>
      <c r="F65" s="194"/>
      <c r="G65" s="194"/>
      <c r="H65" s="194"/>
      <c r="I65" s="194"/>
    </row>
    <row r="66" spans="1:9">
      <c r="A66" s="876"/>
      <c r="B66" s="878"/>
      <c r="C66" s="130" t="s">
        <v>32</v>
      </c>
      <c r="D66" s="338" t="str">
        <f>IF(E66='Parametre - Agendové IS'!BJ133,"OK","Chyba")</f>
        <v>OK</v>
      </c>
      <c r="E66" s="339">
        <f t="shared" si="1"/>
        <v>0</v>
      </c>
      <c r="F66" s="194"/>
      <c r="G66" s="194"/>
      <c r="H66" s="194"/>
      <c r="I66" s="194"/>
    </row>
    <row r="67" spans="1:9">
      <c r="A67" s="876"/>
      <c r="B67" s="878"/>
      <c r="C67" s="130" t="s">
        <v>33</v>
      </c>
      <c r="D67" s="338" t="str">
        <f>IF(E67='Parametre - Agendové IS'!BJ134,"OK","Chyba")</f>
        <v>OK</v>
      </c>
      <c r="E67" s="339">
        <f t="shared" si="1"/>
        <v>0</v>
      </c>
      <c r="F67" s="194"/>
      <c r="G67" s="194"/>
      <c r="H67" s="194"/>
      <c r="I67" s="194"/>
    </row>
    <row r="68" spans="1:9" ht="15.75" thickBot="1">
      <c r="A68" s="763"/>
      <c r="B68" s="879"/>
      <c r="C68" s="131" t="s">
        <v>34</v>
      </c>
      <c r="D68" s="338" t="str">
        <f>IF(E68='Parametre - Agendové IS'!BJ135,"OK","Chyba")</f>
        <v>OK</v>
      </c>
      <c r="E68" s="339">
        <f t="shared" si="1"/>
        <v>0</v>
      </c>
      <c r="F68" s="194"/>
      <c r="G68" s="194"/>
      <c r="H68" s="194"/>
      <c r="I68" s="194"/>
    </row>
    <row r="71" spans="1:9" ht="15.75" thickBot="1"/>
    <row r="72" spans="1:9">
      <c r="A72" s="880">
        <f>'Parametre - Agendové IS'!BL2</f>
        <v>0</v>
      </c>
      <c r="B72" s="881"/>
      <c r="C72" s="882"/>
      <c r="D72" s="886" t="s">
        <v>102</v>
      </c>
      <c r="E72" s="887"/>
      <c r="F72" s="235" t="s">
        <v>122</v>
      </c>
      <c r="G72" s="235" t="s">
        <v>123</v>
      </c>
      <c r="H72" s="235" t="s">
        <v>124</v>
      </c>
      <c r="I72" s="235" t="s">
        <v>126</v>
      </c>
    </row>
    <row r="73" spans="1:9" ht="15.75" thickBot="1">
      <c r="A73" s="883"/>
      <c r="B73" s="884"/>
      <c r="C73" s="885"/>
      <c r="D73" s="334" t="s">
        <v>254</v>
      </c>
      <c r="E73" s="335" t="s">
        <v>125</v>
      </c>
      <c r="F73" s="132" t="s">
        <v>125</v>
      </c>
      <c r="G73" s="132" t="s">
        <v>125</v>
      </c>
      <c r="H73" s="132" t="s">
        <v>125</v>
      </c>
      <c r="I73" s="132" t="s">
        <v>125</v>
      </c>
    </row>
    <row r="74" spans="1:9">
      <c r="A74" s="761" t="s">
        <v>43</v>
      </c>
      <c r="B74" s="877" t="s">
        <v>143</v>
      </c>
      <c r="C74" s="133" t="s">
        <v>25</v>
      </c>
      <c r="D74" s="336" t="str">
        <f>IF(E74='Parametre - Agendové IS'!BM86,"OK","Chyba počtu FTE")</f>
        <v>OK</v>
      </c>
      <c r="E74" s="337">
        <f t="shared" ref="E74:E103" si="2">F74+G74+H74+I74</f>
        <v>0</v>
      </c>
      <c r="F74" s="193"/>
      <c r="G74" s="193"/>
      <c r="H74" s="193"/>
      <c r="I74" s="193"/>
    </row>
    <row r="75" spans="1:9">
      <c r="A75" s="876"/>
      <c r="B75" s="878"/>
      <c r="C75" s="130" t="s">
        <v>26</v>
      </c>
      <c r="D75" s="338" t="str">
        <f>IF(E75='Parametre - Agendové IS'!BM87,"OK","Chyba počtu FTE")</f>
        <v>OK</v>
      </c>
      <c r="E75" s="339">
        <f t="shared" si="2"/>
        <v>0</v>
      </c>
      <c r="F75" s="194"/>
      <c r="G75" s="194"/>
      <c r="H75" s="194"/>
      <c r="I75" s="194"/>
    </row>
    <row r="76" spans="1:9">
      <c r="A76" s="876"/>
      <c r="B76" s="878"/>
      <c r="C76" s="130" t="s">
        <v>27</v>
      </c>
      <c r="D76" s="338" t="str">
        <f>IF(E76='Parametre - Agendové IS'!BM88,"OK","Chyba počtu FTE")</f>
        <v>OK</v>
      </c>
      <c r="E76" s="339">
        <f t="shared" si="2"/>
        <v>0</v>
      </c>
      <c r="F76" s="194"/>
      <c r="G76" s="194"/>
      <c r="H76" s="194"/>
      <c r="I76" s="194"/>
    </row>
    <row r="77" spans="1:9">
      <c r="A77" s="876"/>
      <c r="B77" s="878"/>
      <c r="C77" s="130" t="s">
        <v>28</v>
      </c>
      <c r="D77" s="338" t="str">
        <f>IF(E77='Parametre - Agendové IS'!BM89,"OK","Chyba počtu FTE")</f>
        <v>OK</v>
      </c>
      <c r="E77" s="339">
        <f t="shared" si="2"/>
        <v>0</v>
      </c>
      <c r="F77" s="194"/>
      <c r="G77" s="194"/>
      <c r="H77" s="194"/>
      <c r="I77" s="194"/>
    </row>
    <row r="78" spans="1:9">
      <c r="A78" s="876"/>
      <c r="B78" s="878"/>
      <c r="C78" s="130" t="s">
        <v>29</v>
      </c>
      <c r="D78" s="338" t="str">
        <f>IF(E78='Parametre - Agendové IS'!BM90,"OK","Chyba počtu FTE")</f>
        <v>OK</v>
      </c>
      <c r="E78" s="339">
        <f t="shared" si="2"/>
        <v>0</v>
      </c>
      <c r="F78" s="194"/>
      <c r="G78" s="194"/>
      <c r="H78" s="194"/>
      <c r="I78" s="194"/>
    </row>
    <row r="79" spans="1:9">
      <c r="A79" s="876"/>
      <c r="B79" s="878"/>
      <c r="C79" s="130" t="s">
        <v>30</v>
      </c>
      <c r="D79" s="338" t="str">
        <f>IF(E79='Parametre - Agendové IS'!BM91,"OK","Chyba počtu FTE")</f>
        <v>OK</v>
      </c>
      <c r="E79" s="339">
        <f t="shared" si="2"/>
        <v>0</v>
      </c>
      <c r="F79" s="194"/>
      <c r="G79" s="194"/>
      <c r="H79" s="194"/>
      <c r="I79" s="194"/>
    </row>
    <row r="80" spans="1:9">
      <c r="A80" s="876"/>
      <c r="B80" s="878"/>
      <c r="C80" s="130" t="s">
        <v>31</v>
      </c>
      <c r="D80" s="338" t="str">
        <f>IF(E80='Parametre - Agendové IS'!BM92,"OK","Chyba počtu FTE")</f>
        <v>OK</v>
      </c>
      <c r="E80" s="339">
        <f t="shared" si="2"/>
        <v>0</v>
      </c>
      <c r="F80" s="194"/>
      <c r="G80" s="194"/>
      <c r="H80" s="194"/>
      <c r="I80" s="194"/>
    </row>
    <row r="81" spans="1:9">
      <c r="A81" s="876"/>
      <c r="B81" s="878"/>
      <c r="C81" s="130" t="s">
        <v>32</v>
      </c>
      <c r="D81" s="338" t="str">
        <f>IF(E81='Parametre - Agendové IS'!BM93,"OK","Chyba počtu FTE")</f>
        <v>OK</v>
      </c>
      <c r="E81" s="339">
        <f t="shared" si="2"/>
        <v>0</v>
      </c>
      <c r="F81" s="194"/>
      <c r="G81" s="194"/>
      <c r="H81" s="194"/>
      <c r="I81" s="194"/>
    </row>
    <row r="82" spans="1:9">
      <c r="A82" s="876"/>
      <c r="B82" s="878"/>
      <c r="C82" s="130" t="s">
        <v>33</v>
      </c>
      <c r="D82" s="338" t="str">
        <f>IF(E82='Parametre - Agendové IS'!BM94,"OK","Chyba počtu FTE")</f>
        <v>OK</v>
      </c>
      <c r="E82" s="339">
        <f t="shared" si="2"/>
        <v>0</v>
      </c>
      <c r="F82" s="194"/>
      <c r="G82" s="194"/>
      <c r="H82" s="194"/>
      <c r="I82" s="194"/>
    </row>
    <row r="83" spans="1:9" ht="15.75" thickBot="1">
      <c r="A83" s="876"/>
      <c r="B83" s="878"/>
      <c r="C83" s="130" t="s">
        <v>34</v>
      </c>
      <c r="D83" s="340" t="str">
        <f>IF(E83='Parametre - Agendové IS'!BM95,"OK","Chyba počtu FTE")</f>
        <v>OK</v>
      </c>
      <c r="E83" s="341">
        <f t="shared" si="2"/>
        <v>0</v>
      </c>
      <c r="F83" s="195"/>
      <c r="G83" s="195"/>
      <c r="H83" s="195"/>
      <c r="I83" s="195"/>
    </row>
    <row r="84" spans="1:9">
      <c r="A84" s="761" t="s">
        <v>41</v>
      </c>
      <c r="B84" s="877" t="s">
        <v>37</v>
      </c>
      <c r="C84" s="133" t="s">
        <v>25</v>
      </c>
      <c r="D84" s="337" t="str">
        <f>IF(E84='Parametre - Agendové IS'!BM5,"OK","Chyba počtu podaní")</f>
        <v>OK</v>
      </c>
      <c r="E84" s="342">
        <f t="shared" si="2"/>
        <v>0</v>
      </c>
      <c r="F84" s="193"/>
      <c r="G84" s="193"/>
      <c r="H84" s="193"/>
      <c r="I84" s="193"/>
    </row>
    <row r="85" spans="1:9">
      <c r="A85" s="876"/>
      <c r="B85" s="878"/>
      <c r="C85" s="130" t="s">
        <v>26</v>
      </c>
      <c r="D85" s="338" t="str">
        <f>IF(E85='Parametre - Agendové IS'!BM6,"OK","Chyba počtu podaní")</f>
        <v>OK</v>
      </c>
      <c r="E85" s="339">
        <f t="shared" si="2"/>
        <v>0</v>
      </c>
      <c r="F85" s="194"/>
      <c r="G85" s="194"/>
      <c r="H85" s="194"/>
      <c r="I85" s="194"/>
    </row>
    <row r="86" spans="1:9">
      <c r="A86" s="876"/>
      <c r="B86" s="878"/>
      <c r="C86" s="130" t="s">
        <v>27</v>
      </c>
      <c r="D86" s="338" t="str">
        <f>IF(E86='Parametre - Agendové IS'!BM7,"OK","Chyba počtu podaní")</f>
        <v>OK</v>
      </c>
      <c r="E86" s="339">
        <f t="shared" si="2"/>
        <v>0</v>
      </c>
      <c r="F86" s="194"/>
      <c r="G86" s="194"/>
      <c r="H86" s="194"/>
      <c r="I86" s="194"/>
    </row>
    <row r="87" spans="1:9">
      <c r="A87" s="876"/>
      <c r="B87" s="878"/>
      <c r="C87" s="130" t="s">
        <v>28</v>
      </c>
      <c r="D87" s="338" t="str">
        <f>IF(E87='Parametre - Agendové IS'!BM8,"OK","Chyba počtu podaní")</f>
        <v>OK</v>
      </c>
      <c r="E87" s="339">
        <f t="shared" si="2"/>
        <v>0</v>
      </c>
      <c r="F87" s="194"/>
      <c r="G87" s="194"/>
      <c r="H87" s="194"/>
      <c r="I87" s="194"/>
    </row>
    <row r="88" spans="1:9">
      <c r="A88" s="876"/>
      <c r="B88" s="878"/>
      <c r="C88" s="130" t="s">
        <v>29</v>
      </c>
      <c r="D88" s="338" t="str">
        <f>IF(E88='Parametre - Agendové IS'!BM9,"OK","Chyba počtu podaní")</f>
        <v>OK</v>
      </c>
      <c r="E88" s="339">
        <f t="shared" si="2"/>
        <v>0</v>
      </c>
      <c r="F88" s="194"/>
      <c r="G88" s="194"/>
      <c r="H88" s="194"/>
      <c r="I88" s="194"/>
    </row>
    <row r="89" spans="1:9">
      <c r="A89" s="876"/>
      <c r="B89" s="878"/>
      <c r="C89" s="130" t="s">
        <v>30</v>
      </c>
      <c r="D89" s="338" t="str">
        <f>IF(E89='Parametre - Agendové IS'!BM10,"OK","Chyba počtu podaní")</f>
        <v>OK</v>
      </c>
      <c r="E89" s="339">
        <f t="shared" si="2"/>
        <v>0</v>
      </c>
      <c r="F89" s="194"/>
      <c r="G89" s="194"/>
      <c r="H89" s="194"/>
      <c r="I89" s="194"/>
    </row>
    <row r="90" spans="1:9">
      <c r="A90" s="876"/>
      <c r="B90" s="878"/>
      <c r="C90" s="130" t="s">
        <v>31</v>
      </c>
      <c r="D90" s="338" t="str">
        <f>IF(E90='Parametre - Agendové IS'!BM11,"OK","Chyba počtu podaní")</f>
        <v>OK</v>
      </c>
      <c r="E90" s="339">
        <f t="shared" si="2"/>
        <v>0</v>
      </c>
      <c r="F90" s="194"/>
      <c r="G90" s="194"/>
      <c r="H90" s="194"/>
      <c r="I90" s="194"/>
    </row>
    <row r="91" spans="1:9">
      <c r="A91" s="876"/>
      <c r="B91" s="878"/>
      <c r="C91" s="130" t="s">
        <v>32</v>
      </c>
      <c r="D91" s="338" t="str">
        <f>IF(E91='Parametre - Agendové IS'!BM12,"OK","Chyba počtu podaní")</f>
        <v>OK</v>
      </c>
      <c r="E91" s="339">
        <f t="shared" si="2"/>
        <v>0</v>
      </c>
      <c r="F91" s="194"/>
      <c r="G91" s="194"/>
      <c r="H91" s="194"/>
      <c r="I91" s="194"/>
    </row>
    <row r="92" spans="1:9">
      <c r="A92" s="876"/>
      <c r="B92" s="878"/>
      <c r="C92" s="130" t="s">
        <v>33</v>
      </c>
      <c r="D92" s="338" t="str">
        <f>IF(E92='Parametre - Agendové IS'!BM13,"OK","Chyba počtu podaní")</f>
        <v>OK</v>
      </c>
      <c r="E92" s="339">
        <f t="shared" si="2"/>
        <v>0</v>
      </c>
      <c r="F92" s="194"/>
      <c r="G92" s="194"/>
      <c r="H92" s="194"/>
      <c r="I92" s="194"/>
    </row>
    <row r="93" spans="1:9" ht="15.75" thickBot="1">
      <c r="A93" s="763"/>
      <c r="B93" s="879"/>
      <c r="C93" s="131" t="s">
        <v>34</v>
      </c>
      <c r="D93" s="338" t="str">
        <f>IF(E93='Parametre - Agendové IS'!BM14,"OK","Chyba počtu podaní")</f>
        <v>OK</v>
      </c>
      <c r="E93" s="339">
        <f t="shared" si="2"/>
        <v>0</v>
      </c>
      <c r="F93" s="194"/>
      <c r="G93" s="194"/>
      <c r="H93" s="194"/>
      <c r="I93" s="194"/>
    </row>
    <row r="94" spans="1:9">
      <c r="A94" s="761" t="s">
        <v>39</v>
      </c>
      <c r="B94" s="877" t="s">
        <v>13</v>
      </c>
      <c r="C94" s="133" t="s">
        <v>25</v>
      </c>
      <c r="D94" s="337" t="str">
        <f>IF(E94='Parametre - Agendové IS'!BM126,"OK","Chyba")</f>
        <v>OK</v>
      </c>
      <c r="E94" s="342">
        <f t="shared" si="2"/>
        <v>0</v>
      </c>
      <c r="F94" s="193"/>
      <c r="G94" s="193"/>
      <c r="H94" s="193"/>
      <c r="I94" s="193"/>
    </row>
    <row r="95" spans="1:9">
      <c r="A95" s="876"/>
      <c r="B95" s="878"/>
      <c r="C95" s="130" t="s">
        <v>26</v>
      </c>
      <c r="D95" s="338" t="str">
        <f>IF(E95='Parametre - Agendové IS'!BM127,"OK","Chyba")</f>
        <v>OK</v>
      </c>
      <c r="E95" s="339">
        <f t="shared" si="2"/>
        <v>0</v>
      </c>
      <c r="F95" s="194"/>
      <c r="G95" s="194"/>
      <c r="H95" s="194"/>
      <c r="I95" s="194"/>
    </row>
    <row r="96" spans="1:9">
      <c r="A96" s="876"/>
      <c r="B96" s="878"/>
      <c r="C96" s="130" t="s">
        <v>27</v>
      </c>
      <c r="D96" s="338" t="str">
        <f>IF(E96='Parametre - Agendové IS'!BM128,"OK","Chyba")</f>
        <v>OK</v>
      </c>
      <c r="E96" s="339">
        <f t="shared" si="2"/>
        <v>0</v>
      </c>
      <c r="F96" s="194"/>
      <c r="G96" s="194"/>
      <c r="H96" s="194"/>
      <c r="I96" s="194"/>
    </row>
    <row r="97" spans="1:9">
      <c r="A97" s="876"/>
      <c r="B97" s="878"/>
      <c r="C97" s="130" t="s">
        <v>28</v>
      </c>
      <c r="D97" s="338" t="str">
        <f>IF(E97='Parametre - Agendové IS'!BM129,"OK","Chyba")</f>
        <v>OK</v>
      </c>
      <c r="E97" s="339">
        <f t="shared" si="2"/>
        <v>0</v>
      </c>
      <c r="F97" s="194"/>
      <c r="G97" s="194"/>
      <c r="H97" s="194"/>
      <c r="I97" s="194"/>
    </row>
    <row r="98" spans="1:9">
      <c r="A98" s="876"/>
      <c r="B98" s="878"/>
      <c r="C98" s="130" t="s">
        <v>29</v>
      </c>
      <c r="D98" s="338" t="str">
        <f>IF(E98='Parametre - Agendové IS'!BM130,"OK","Chyba")</f>
        <v>OK</v>
      </c>
      <c r="E98" s="339">
        <f t="shared" si="2"/>
        <v>0</v>
      </c>
      <c r="F98" s="194"/>
      <c r="G98" s="194"/>
      <c r="H98" s="194"/>
      <c r="I98" s="194"/>
    </row>
    <row r="99" spans="1:9">
      <c r="A99" s="876"/>
      <c r="B99" s="878"/>
      <c r="C99" s="130" t="s">
        <v>30</v>
      </c>
      <c r="D99" s="338" t="str">
        <f>IF(E99='Parametre - Agendové IS'!BM131,"OK","Chyba")</f>
        <v>OK</v>
      </c>
      <c r="E99" s="339">
        <f t="shared" si="2"/>
        <v>0</v>
      </c>
      <c r="F99" s="194"/>
      <c r="G99" s="194"/>
      <c r="H99" s="194"/>
      <c r="I99" s="194"/>
    </row>
    <row r="100" spans="1:9">
      <c r="A100" s="876"/>
      <c r="B100" s="878"/>
      <c r="C100" s="130" t="s">
        <v>31</v>
      </c>
      <c r="D100" s="338" t="str">
        <f>IF(E100='Parametre - Agendové IS'!BM132,"OK","Chyba")</f>
        <v>OK</v>
      </c>
      <c r="E100" s="339">
        <f t="shared" si="2"/>
        <v>0</v>
      </c>
      <c r="F100" s="194"/>
      <c r="G100" s="194"/>
      <c r="H100" s="194"/>
      <c r="I100" s="194"/>
    </row>
    <row r="101" spans="1:9">
      <c r="A101" s="876"/>
      <c r="B101" s="878"/>
      <c r="C101" s="130" t="s">
        <v>32</v>
      </c>
      <c r="D101" s="338" t="str">
        <f>IF(E101='Parametre - Agendové IS'!BM133,"OK","Chyba")</f>
        <v>OK</v>
      </c>
      <c r="E101" s="339">
        <f t="shared" si="2"/>
        <v>0</v>
      </c>
      <c r="F101" s="194"/>
      <c r="G101" s="194"/>
      <c r="H101" s="194"/>
      <c r="I101" s="194"/>
    </row>
    <row r="102" spans="1:9">
      <c r="A102" s="876"/>
      <c r="B102" s="878"/>
      <c r="C102" s="130" t="s">
        <v>33</v>
      </c>
      <c r="D102" s="338" t="str">
        <f>IF(E102='Parametre - Agendové IS'!BM134,"OK","Chyba")</f>
        <v>OK</v>
      </c>
      <c r="E102" s="339">
        <f t="shared" si="2"/>
        <v>0</v>
      </c>
      <c r="F102" s="194"/>
      <c r="G102" s="194"/>
      <c r="H102" s="194"/>
      <c r="I102" s="194"/>
    </row>
    <row r="103" spans="1:9" ht="15.75" thickBot="1">
      <c r="A103" s="763"/>
      <c r="B103" s="879"/>
      <c r="C103" s="131" t="s">
        <v>34</v>
      </c>
      <c r="D103" s="338" t="str">
        <f>IF(E103='Parametre - Agendové IS'!BM135,"OK","Chyba")</f>
        <v>OK</v>
      </c>
      <c r="E103" s="339">
        <f t="shared" si="2"/>
        <v>0</v>
      </c>
      <c r="F103" s="194"/>
      <c r="G103" s="194"/>
      <c r="H103" s="194"/>
      <c r="I103" s="194"/>
    </row>
    <row r="106" spans="1:9" ht="15.75" thickBot="1"/>
    <row r="107" spans="1:9">
      <c r="A107" s="880">
        <f>'Parametre - Agendové IS'!BO2</f>
        <v>0</v>
      </c>
      <c r="B107" s="881"/>
      <c r="C107" s="882"/>
      <c r="D107" s="886" t="s">
        <v>102</v>
      </c>
      <c r="E107" s="887"/>
      <c r="F107" s="235" t="s">
        <v>122</v>
      </c>
      <c r="G107" s="235" t="s">
        <v>123</v>
      </c>
      <c r="H107" s="235" t="s">
        <v>124</v>
      </c>
      <c r="I107" s="235" t="s">
        <v>126</v>
      </c>
    </row>
    <row r="108" spans="1:9" ht="15.75" thickBot="1">
      <c r="A108" s="883"/>
      <c r="B108" s="884"/>
      <c r="C108" s="885"/>
      <c r="D108" s="334" t="s">
        <v>254</v>
      </c>
      <c r="E108" s="335" t="s">
        <v>125</v>
      </c>
      <c r="F108" s="132" t="s">
        <v>125</v>
      </c>
      <c r="G108" s="132" t="s">
        <v>125</v>
      </c>
      <c r="H108" s="132" t="s">
        <v>125</v>
      </c>
      <c r="I108" s="132" t="s">
        <v>125</v>
      </c>
    </row>
    <row r="109" spans="1:9">
      <c r="A109" s="761" t="s">
        <v>43</v>
      </c>
      <c r="B109" s="877" t="s">
        <v>143</v>
      </c>
      <c r="C109" s="133" t="s">
        <v>25</v>
      </c>
      <c r="D109" s="336" t="str">
        <f>IF(E109='Parametre - Agendové IS'!BP86,"OK","Chyba počtu FTE")</f>
        <v>OK</v>
      </c>
      <c r="E109" s="337">
        <f t="shared" ref="E109:E138" si="3">F109+G109+H109+I109</f>
        <v>0</v>
      </c>
      <c r="F109" s="193"/>
      <c r="G109" s="193"/>
      <c r="H109" s="193"/>
      <c r="I109" s="193"/>
    </row>
    <row r="110" spans="1:9">
      <c r="A110" s="876"/>
      <c r="B110" s="878"/>
      <c r="C110" s="130" t="s">
        <v>26</v>
      </c>
      <c r="D110" s="338" t="str">
        <f>IF(E110='Parametre - Agendové IS'!BP87,"OK","Chyba počtu FTE")</f>
        <v>OK</v>
      </c>
      <c r="E110" s="339">
        <f t="shared" si="3"/>
        <v>0</v>
      </c>
      <c r="F110" s="194"/>
      <c r="G110" s="194"/>
      <c r="H110" s="194"/>
      <c r="I110" s="194"/>
    </row>
    <row r="111" spans="1:9">
      <c r="A111" s="876"/>
      <c r="B111" s="878"/>
      <c r="C111" s="130" t="s">
        <v>27</v>
      </c>
      <c r="D111" s="338" t="str">
        <f>IF(E111='Parametre - Agendové IS'!BP88,"OK","Chyba počtu FTE")</f>
        <v>OK</v>
      </c>
      <c r="E111" s="339">
        <f t="shared" si="3"/>
        <v>0</v>
      </c>
      <c r="F111" s="194"/>
      <c r="G111" s="194"/>
      <c r="H111" s="194"/>
      <c r="I111" s="194"/>
    </row>
    <row r="112" spans="1:9">
      <c r="A112" s="876"/>
      <c r="B112" s="878"/>
      <c r="C112" s="130" t="s">
        <v>28</v>
      </c>
      <c r="D112" s="338" t="str">
        <f>IF(E112='Parametre - Agendové IS'!BP89,"OK","Chyba počtu FTE")</f>
        <v>OK</v>
      </c>
      <c r="E112" s="339">
        <f t="shared" si="3"/>
        <v>0</v>
      </c>
      <c r="F112" s="194"/>
      <c r="G112" s="194"/>
      <c r="H112" s="194"/>
      <c r="I112" s="194"/>
    </row>
    <row r="113" spans="1:9">
      <c r="A113" s="876"/>
      <c r="B113" s="878"/>
      <c r="C113" s="130" t="s">
        <v>29</v>
      </c>
      <c r="D113" s="338" t="str">
        <f>IF(E113='Parametre - Agendové IS'!BP90,"OK","Chyba počtu FTE")</f>
        <v>OK</v>
      </c>
      <c r="E113" s="339">
        <f t="shared" si="3"/>
        <v>0</v>
      </c>
      <c r="F113" s="194"/>
      <c r="G113" s="194"/>
      <c r="H113" s="194"/>
      <c r="I113" s="194"/>
    </row>
    <row r="114" spans="1:9">
      <c r="A114" s="876"/>
      <c r="B114" s="878"/>
      <c r="C114" s="130" t="s">
        <v>30</v>
      </c>
      <c r="D114" s="338" t="str">
        <f>IF(E114='Parametre - Agendové IS'!BP91,"OK","Chyba počtu FTE")</f>
        <v>OK</v>
      </c>
      <c r="E114" s="339">
        <f t="shared" si="3"/>
        <v>0</v>
      </c>
      <c r="F114" s="194"/>
      <c r="G114" s="194"/>
      <c r="H114" s="194"/>
      <c r="I114" s="194"/>
    </row>
    <row r="115" spans="1:9">
      <c r="A115" s="876"/>
      <c r="B115" s="878"/>
      <c r="C115" s="130" t="s">
        <v>31</v>
      </c>
      <c r="D115" s="338" t="str">
        <f>IF(E115='Parametre - Agendové IS'!BP92,"OK","Chyba počtu FTE")</f>
        <v>OK</v>
      </c>
      <c r="E115" s="339">
        <f t="shared" si="3"/>
        <v>0</v>
      </c>
      <c r="F115" s="194"/>
      <c r="G115" s="194"/>
      <c r="H115" s="194"/>
      <c r="I115" s="194"/>
    </row>
    <row r="116" spans="1:9">
      <c r="A116" s="876"/>
      <c r="B116" s="878"/>
      <c r="C116" s="130" t="s">
        <v>32</v>
      </c>
      <c r="D116" s="338" t="str">
        <f>IF(E116='Parametre - Agendové IS'!BP93,"OK","Chyba počtu FTE")</f>
        <v>OK</v>
      </c>
      <c r="E116" s="339">
        <f t="shared" si="3"/>
        <v>0</v>
      </c>
      <c r="F116" s="194"/>
      <c r="G116" s="194"/>
      <c r="H116" s="194"/>
      <c r="I116" s="194"/>
    </row>
    <row r="117" spans="1:9">
      <c r="A117" s="876"/>
      <c r="B117" s="878"/>
      <c r="C117" s="130" t="s">
        <v>33</v>
      </c>
      <c r="D117" s="338" t="str">
        <f>IF(E117='Parametre - Agendové IS'!BP94,"OK","Chyba počtu FTE")</f>
        <v>OK</v>
      </c>
      <c r="E117" s="339">
        <f t="shared" si="3"/>
        <v>0</v>
      </c>
      <c r="F117" s="194"/>
      <c r="G117" s="194"/>
      <c r="H117" s="194"/>
      <c r="I117" s="194"/>
    </row>
    <row r="118" spans="1:9" ht="15.75" thickBot="1">
      <c r="A118" s="876"/>
      <c r="B118" s="878"/>
      <c r="C118" s="130" t="s">
        <v>34</v>
      </c>
      <c r="D118" s="340" t="str">
        <f>IF(E118='Parametre - Agendové IS'!BP95,"OK","Chyba počtu FTE")</f>
        <v>OK</v>
      </c>
      <c r="E118" s="341">
        <f t="shared" si="3"/>
        <v>0</v>
      </c>
      <c r="F118" s="195"/>
      <c r="G118" s="195"/>
      <c r="H118" s="195"/>
      <c r="I118" s="195"/>
    </row>
    <row r="119" spans="1:9">
      <c r="A119" s="761" t="s">
        <v>41</v>
      </c>
      <c r="B119" s="877" t="s">
        <v>37</v>
      </c>
      <c r="C119" s="133" t="s">
        <v>25</v>
      </c>
      <c r="D119" s="337" t="str">
        <f>IF(E119='Parametre - Agendové IS'!BP5,"OK","Chyba počtu podaní")</f>
        <v>OK</v>
      </c>
      <c r="E119" s="342">
        <f t="shared" si="3"/>
        <v>0</v>
      </c>
      <c r="F119" s="193"/>
      <c r="G119" s="193"/>
      <c r="H119" s="193"/>
      <c r="I119" s="193"/>
    </row>
    <row r="120" spans="1:9">
      <c r="A120" s="876"/>
      <c r="B120" s="878"/>
      <c r="C120" s="130" t="s">
        <v>26</v>
      </c>
      <c r="D120" s="338" t="str">
        <f>IF(E120='Parametre - Agendové IS'!BP6,"OK","Chyba počtu podaní")</f>
        <v>OK</v>
      </c>
      <c r="E120" s="339">
        <f t="shared" si="3"/>
        <v>0</v>
      </c>
      <c r="F120" s="194"/>
      <c r="G120" s="194"/>
      <c r="H120" s="194"/>
      <c r="I120" s="194"/>
    </row>
    <row r="121" spans="1:9">
      <c r="A121" s="876"/>
      <c r="B121" s="878"/>
      <c r="C121" s="130" t="s">
        <v>27</v>
      </c>
      <c r="D121" s="338" t="str">
        <f>IF(E121='Parametre - Agendové IS'!BP7,"OK","Chyba počtu podaní")</f>
        <v>OK</v>
      </c>
      <c r="E121" s="339">
        <f t="shared" si="3"/>
        <v>0</v>
      </c>
      <c r="F121" s="194"/>
      <c r="G121" s="194"/>
      <c r="H121" s="194"/>
      <c r="I121" s="194"/>
    </row>
    <row r="122" spans="1:9">
      <c r="A122" s="876"/>
      <c r="B122" s="878"/>
      <c r="C122" s="130" t="s">
        <v>28</v>
      </c>
      <c r="D122" s="338" t="str">
        <f>IF(E122='Parametre - Agendové IS'!BP8,"OK","Chyba počtu podaní")</f>
        <v>OK</v>
      </c>
      <c r="E122" s="339">
        <f t="shared" si="3"/>
        <v>0</v>
      </c>
      <c r="F122" s="194"/>
      <c r="G122" s="194"/>
      <c r="H122" s="194"/>
      <c r="I122" s="194"/>
    </row>
    <row r="123" spans="1:9">
      <c r="A123" s="876"/>
      <c r="B123" s="878"/>
      <c r="C123" s="130" t="s">
        <v>29</v>
      </c>
      <c r="D123" s="338" t="str">
        <f>IF(E123='Parametre - Agendové IS'!BP9,"OK","Chyba počtu podaní")</f>
        <v>OK</v>
      </c>
      <c r="E123" s="339">
        <f t="shared" si="3"/>
        <v>0</v>
      </c>
      <c r="F123" s="194"/>
      <c r="G123" s="194"/>
      <c r="H123" s="194"/>
      <c r="I123" s="194"/>
    </row>
    <row r="124" spans="1:9">
      <c r="A124" s="876"/>
      <c r="B124" s="878"/>
      <c r="C124" s="130" t="s">
        <v>30</v>
      </c>
      <c r="D124" s="338" t="str">
        <f>IF(E124='Parametre - Agendové IS'!BP10,"OK","Chyba počtu podaní")</f>
        <v>OK</v>
      </c>
      <c r="E124" s="339">
        <f t="shared" si="3"/>
        <v>0</v>
      </c>
      <c r="F124" s="194"/>
      <c r="G124" s="194"/>
      <c r="H124" s="194"/>
      <c r="I124" s="194"/>
    </row>
    <row r="125" spans="1:9">
      <c r="A125" s="876"/>
      <c r="B125" s="878"/>
      <c r="C125" s="130" t="s">
        <v>31</v>
      </c>
      <c r="D125" s="338" t="str">
        <f>IF(E125='Parametre - Agendové IS'!BP11,"OK","Chyba počtu podaní")</f>
        <v>OK</v>
      </c>
      <c r="E125" s="339">
        <f t="shared" si="3"/>
        <v>0</v>
      </c>
      <c r="F125" s="194"/>
      <c r="G125" s="194"/>
      <c r="H125" s="194"/>
      <c r="I125" s="194"/>
    </row>
    <row r="126" spans="1:9">
      <c r="A126" s="876"/>
      <c r="B126" s="878"/>
      <c r="C126" s="130" t="s">
        <v>32</v>
      </c>
      <c r="D126" s="338" t="str">
        <f>IF(E126='Parametre - Agendové IS'!BP12,"OK","Chyba počtu podaní")</f>
        <v>OK</v>
      </c>
      <c r="E126" s="339">
        <f t="shared" si="3"/>
        <v>0</v>
      </c>
      <c r="F126" s="194"/>
      <c r="G126" s="194"/>
      <c r="H126" s="194"/>
      <c r="I126" s="194"/>
    </row>
    <row r="127" spans="1:9">
      <c r="A127" s="876"/>
      <c r="B127" s="878"/>
      <c r="C127" s="130" t="s">
        <v>33</v>
      </c>
      <c r="D127" s="338" t="str">
        <f>IF(E127='Parametre - Agendové IS'!BP13,"OK","Chyba počtu podaní")</f>
        <v>OK</v>
      </c>
      <c r="E127" s="339">
        <f t="shared" si="3"/>
        <v>0</v>
      </c>
      <c r="F127" s="194"/>
      <c r="G127" s="194"/>
      <c r="H127" s="194"/>
      <c r="I127" s="194"/>
    </row>
    <row r="128" spans="1:9" ht="15.75" thickBot="1">
      <c r="A128" s="763"/>
      <c r="B128" s="879"/>
      <c r="C128" s="131" t="s">
        <v>34</v>
      </c>
      <c r="D128" s="338" t="str">
        <f>IF(E128='Parametre - Agendové IS'!BP14,"OK","Chyba počtu podaní")</f>
        <v>OK</v>
      </c>
      <c r="E128" s="339">
        <f t="shared" si="3"/>
        <v>0</v>
      </c>
      <c r="F128" s="194"/>
      <c r="G128" s="194"/>
      <c r="H128" s="194"/>
      <c r="I128" s="194"/>
    </row>
    <row r="129" spans="1:9">
      <c r="A129" s="761" t="s">
        <v>39</v>
      </c>
      <c r="B129" s="877" t="s">
        <v>13</v>
      </c>
      <c r="C129" s="133" t="s">
        <v>25</v>
      </c>
      <c r="D129" s="337" t="str">
        <f>IF(E129='Parametre - Agendové IS'!BP126,"OK","Chyba")</f>
        <v>OK</v>
      </c>
      <c r="E129" s="342">
        <f t="shared" si="3"/>
        <v>0</v>
      </c>
      <c r="F129" s="193"/>
      <c r="G129" s="193"/>
      <c r="H129" s="193"/>
      <c r="I129" s="193"/>
    </row>
    <row r="130" spans="1:9">
      <c r="A130" s="876"/>
      <c r="B130" s="878"/>
      <c r="C130" s="130" t="s">
        <v>26</v>
      </c>
      <c r="D130" s="338" t="str">
        <f>IF(E130='Parametre - Agendové IS'!BP127,"OK","Chyba")</f>
        <v>OK</v>
      </c>
      <c r="E130" s="339">
        <f t="shared" si="3"/>
        <v>0</v>
      </c>
      <c r="F130" s="194"/>
      <c r="G130" s="194"/>
      <c r="H130" s="194"/>
      <c r="I130" s="194"/>
    </row>
    <row r="131" spans="1:9">
      <c r="A131" s="876"/>
      <c r="B131" s="878"/>
      <c r="C131" s="130" t="s">
        <v>27</v>
      </c>
      <c r="D131" s="338" t="str">
        <f>IF(E131='Parametre - Agendové IS'!BP128,"OK","Chyba")</f>
        <v>OK</v>
      </c>
      <c r="E131" s="339">
        <f t="shared" si="3"/>
        <v>0</v>
      </c>
      <c r="F131" s="194"/>
      <c r="G131" s="194"/>
      <c r="H131" s="194"/>
      <c r="I131" s="194"/>
    </row>
    <row r="132" spans="1:9">
      <c r="A132" s="876"/>
      <c r="B132" s="878"/>
      <c r="C132" s="130" t="s">
        <v>28</v>
      </c>
      <c r="D132" s="338" t="str">
        <f>IF(E132='Parametre - Agendové IS'!BP129,"OK","Chyba")</f>
        <v>OK</v>
      </c>
      <c r="E132" s="339">
        <f t="shared" si="3"/>
        <v>0</v>
      </c>
      <c r="F132" s="194"/>
      <c r="G132" s="194"/>
      <c r="H132" s="194"/>
      <c r="I132" s="194"/>
    </row>
    <row r="133" spans="1:9">
      <c r="A133" s="876"/>
      <c r="B133" s="878"/>
      <c r="C133" s="130" t="s">
        <v>29</v>
      </c>
      <c r="D133" s="338" t="str">
        <f>IF(E133='Parametre - Agendové IS'!BP130,"OK","Chyba")</f>
        <v>OK</v>
      </c>
      <c r="E133" s="339">
        <f t="shared" si="3"/>
        <v>0</v>
      </c>
      <c r="F133" s="194"/>
      <c r="G133" s="194"/>
      <c r="H133" s="194"/>
      <c r="I133" s="194"/>
    </row>
    <row r="134" spans="1:9">
      <c r="A134" s="876"/>
      <c r="B134" s="878"/>
      <c r="C134" s="130" t="s">
        <v>30</v>
      </c>
      <c r="D134" s="338" t="str">
        <f>IF(E134='Parametre - Agendové IS'!BP131,"OK","Chyba")</f>
        <v>OK</v>
      </c>
      <c r="E134" s="339">
        <f t="shared" si="3"/>
        <v>0</v>
      </c>
      <c r="F134" s="194"/>
      <c r="G134" s="194"/>
      <c r="H134" s="194"/>
      <c r="I134" s="194"/>
    </row>
    <row r="135" spans="1:9">
      <c r="A135" s="876"/>
      <c r="B135" s="878"/>
      <c r="C135" s="130" t="s">
        <v>31</v>
      </c>
      <c r="D135" s="338" t="str">
        <f>IF(E135='Parametre - Agendové IS'!BP132,"OK","Chyba")</f>
        <v>OK</v>
      </c>
      <c r="E135" s="339">
        <f t="shared" si="3"/>
        <v>0</v>
      </c>
      <c r="F135" s="194"/>
      <c r="G135" s="194"/>
      <c r="H135" s="194"/>
      <c r="I135" s="194"/>
    </row>
    <row r="136" spans="1:9">
      <c r="A136" s="876"/>
      <c r="B136" s="878"/>
      <c r="C136" s="130" t="s">
        <v>32</v>
      </c>
      <c r="D136" s="338" t="str">
        <f>IF(E136='Parametre - Agendové IS'!BP133,"OK","Chyba")</f>
        <v>OK</v>
      </c>
      <c r="E136" s="339">
        <f t="shared" si="3"/>
        <v>0</v>
      </c>
      <c r="F136" s="194"/>
      <c r="G136" s="194"/>
      <c r="H136" s="194"/>
      <c r="I136" s="194"/>
    </row>
    <row r="137" spans="1:9">
      <c r="A137" s="876"/>
      <c r="B137" s="878"/>
      <c r="C137" s="130" t="s">
        <v>33</v>
      </c>
      <c r="D137" s="338" t="str">
        <f>IF(E137='Parametre - Agendové IS'!BP134,"OK","Chyba")</f>
        <v>OK</v>
      </c>
      <c r="E137" s="339">
        <f t="shared" si="3"/>
        <v>0</v>
      </c>
      <c r="F137" s="194"/>
      <c r="G137" s="194"/>
      <c r="H137" s="194"/>
      <c r="I137" s="194"/>
    </row>
    <row r="138" spans="1:9" ht="15.75" thickBot="1">
      <c r="A138" s="763"/>
      <c r="B138" s="879"/>
      <c r="C138" s="131" t="s">
        <v>34</v>
      </c>
      <c r="D138" s="338" t="str">
        <f>IF(E138='Parametre - Agendové IS'!BP135,"OK","Chyba")</f>
        <v>OK</v>
      </c>
      <c r="E138" s="339">
        <f t="shared" si="3"/>
        <v>0</v>
      </c>
      <c r="F138" s="194"/>
      <c r="G138" s="194"/>
      <c r="H138" s="194"/>
      <c r="I138" s="194"/>
    </row>
  </sheetData>
  <mergeCells count="32">
    <mergeCell ref="A129:A138"/>
    <mergeCell ref="B129:B138"/>
    <mergeCell ref="A24:A33"/>
    <mergeCell ref="B24:B33"/>
    <mergeCell ref="A59:A68"/>
    <mergeCell ref="B59:B68"/>
    <mergeCell ref="A94:A103"/>
    <mergeCell ref="B94:B103"/>
    <mergeCell ref="A37:C38"/>
    <mergeCell ref="A39:A48"/>
    <mergeCell ref="B39:B48"/>
    <mergeCell ref="A49:A58"/>
    <mergeCell ref="B49:B58"/>
    <mergeCell ref="A72:C73"/>
    <mergeCell ref="A74:A83"/>
    <mergeCell ref="B74:B83"/>
    <mergeCell ref="D107:E107"/>
    <mergeCell ref="D72:E72"/>
    <mergeCell ref="D37:E37"/>
    <mergeCell ref="D2:E2"/>
    <mergeCell ref="A2:C3"/>
    <mergeCell ref="B4:B13"/>
    <mergeCell ref="A14:A23"/>
    <mergeCell ref="B14:B23"/>
    <mergeCell ref="A4:A13"/>
    <mergeCell ref="A119:A128"/>
    <mergeCell ref="B119:B128"/>
    <mergeCell ref="A109:A118"/>
    <mergeCell ref="B109:B118"/>
    <mergeCell ref="A84:A93"/>
    <mergeCell ref="B84:B93"/>
    <mergeCell ref="A107:C108"/>
  </mergeCells>
  <pageMargins left="0.7" right="0.7" top="0.75" bottom="0.75" header="0.3" footer="0.3"/>
  <pageSetup paperSize="9" scale="35"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árok23">
    <tabColor theme="0" tint="-0.34998626667073579"/>
  </sheetPr>
  <dimension ref="A1:V22"/>
  <sheetViews>
    <sheetView workbookViewId="0">
      <pane xSplit="6" ySplit="2" topLeftCell="G3" activePane="bottomRight" state="frozen"/>
      <selection pane="topRight" activeCell="G1" sqref="G1"/>
      <selection pane="bottomLeft" activeCell="A3" sqref="A3"/>
      <selection pane="bottomRight" activeCell="L4" sqref="L4"/>
    </sheetView>
  </sheetViews>
  <sheetFormatPr defaultColWidth="8.7109375" defaultRowHeight="12.75"/>
  <cols>
    <col min="1" max="1" width="15.28515625" style="519" bestFit="1" customWidth="1"/>
    <col min="2" max="2" width="19.28515625" style="519" bestFit="1" customWidth="1"/>
    <col min="3" max="4" width="12.7109375" style="519" customWidth="1"/>
    <col min="5" max="5" width="12.7109375" style="519" bestFit="1" customWidth="1"/>
    <col min="6" max="6" width="6.7109375" style="519" customWidth="1"/>
    <col min="7" max="7" width="13.140625" style="519" customWidth="1"/>
    <col min="8" max="8" width="11.7109375" style="519" customWidth="1"/>
    <col min="9" max="13" width="8.42578125" style="519" customWidth="1"/>
    <col min="14" max="14" width="10.42578125" style="519" customWidth="1"/>
    <col min="15" max="15" width="13.7109375" style="519" customWidth="1"/>
    <col min="16" max="16" width="12.42578125" style="519" customWidth="1"/>
    <col min="17" max="17" width="13.7109375" style="519" customWidth="1"/>
    <col min="18" max="19" width="12.42578125" style="519" customWidth="1"/>
    <col min="20" max="20" width="13.7109375" style="519" customWidth="1"/>
    <col min="21" max="22" width="13.42578125" style="519" customWidth="1"/>
    <col min="23" max="16384" width="8.7109375" style="519"/>
  </cols>
  <sheetData>
    <row r="1" spans="1:22" s="512" customFormat="1" ht="14.65" customHeight="1">
      <c r="A1" s="718" t="s">
        <v>459</v>
      </c>
      <c r="B1" s="718" t="s">
        <v>462</v>
      </c>
      <c r="C1" s="718" t="s">
        <v>416</v>
      </c>
      <c r="D1" s="726" t="s">
        <v>748</v>
      </c>
      <c r="E1" s="722" t="s">
        <v>464</v>
      </c>
      <c r="F1" s="723"/>
      <c r="G1" s="718" t="s">
        <v>416</v>
      </c>
      <c r="H1" s="719" t="s">
        <v>471</v>
      </c>
      <c r="I1" s="720"/>
      <c r="J1" s="720"/>
      <c r="K1" s="720"/>
      <c r="L1" s="721"/>
      <c r="M1" s="664"/>
      <c r="N1" s="664"/>
      <c r="O1" s="715" t="s">
        <v>472</v>
      </c>
      <c r="P1" s="715"/>
      <c r="Q1" s="715"/>
      <c r="R1" s="715"/>
      <c r="S1" s="715"/>
      <c r="T1" s="715"/>
      <c r="U1" s="713" t="s">
        <v>681</v>
      </c>
      <c r="V1" s="714"/>
    </row>
    <row r="2" spans="1:22" s="512" customFormat="1" ht="38.25">
      <c r="A2" s="718"/>
      <c r="B2" s="718"/>
      <c r="C2" s="718"/>
      <c r="D2" s="727"/>
      <c r="E2" s="724"/>
      <c r="F2" s="725"/>
      <c r="G2" s="718"/>
      <c r="H2" s="513" t="s">
        <v>473</v>
      </c>
      <c r="I2" s="514" t="s">
        <v>670</v>
      </c>
      <c r="J2" s="514" t="s">
        <v>671</v>
      </c>
      <c r="K2" s="514" t="s">
        <v>749</v>
      </c>
      <c r="L2" s="514" t="s">
        <v>750</v>
      </c>
      <c r="M2" s="514" t="s">
        <v>773</v>
      </c>
      <c r="N2" s="514" t="s">
        <v>774</v>
      </c>
      <c r="O2" s="514" t="s">
        <v>670</v>
      </c>
      <c r="P2" s="514" t="s">
        <v>680</v>
      </c>
      <c r="Q2" s="514" t="s">
        <v>671</v>
      </c>
      <c r="R2" s="514" t="s">
        <v>680</v>
      </c>
      <c r="S2" s="514" t="s">
        <v>749</v>
      </c>
      <c r="T2" s="514" t="s">
        <v>750</v>
      </c>
      <c r="U2" s="514" t="s">
        <v>670</v>
      </c>
      <c r="V2" s="514" t="s">
        <v>671</v>
      </c>
    </row>
    <row r="3" spans="1:22">
      <c r="A3" s="728" t="s">
        <v>460</v>
      </c>
      <c r="B3" s="728" t="s">
        <v>463</v>
      </c>
      <c r="C3" s="731">
        <f>'TCO TO BE- SW'!E36</f>
        <v>10924819.5035</v>
      </c>
      <c r="D3" s="650" t="s">
        <v>751</v>
      </c>
      <c r="E3" s="716" t="s">
        <v>469</v>
      </c>
      <c r="F3" s="717"/>
      <c r="G3" s="516">
        <f>SUM('TCO TO BE- SW'!F47:F56,'TCO TO BE- SW'!F67:F76)</f>
        <v>2734336</v>
      </c>
      <c r="H3" s="517" t="str">
        <f t="shared" ref="H3:H21" si="0">IF(SUM(I3:L3)=0,"",SUM(I3:L3))</f>
        <v/>
      </c>
      <c r="I3" s="624"/>
      <c r="J3" s="624"/>
      <c r="K3" s="624"/>
      <c r="L3" s="624"/>
      <c r="M3" s="624"/>
      <c r="N3" s="624"/>
      <c r="O3" s="518">
        <f>$G3*I3</f>
        <v>0</v>
      </c>
      <c r="P3" s="628"/>
      <c r="Q3" s="518">
        <f t="shared" ref="Q3:Q21" si="1">$G3*J3</f>
        <v>0</v>
      </c>
      <c r="R3" s="628"/>
      <c r="S3" s="518">
        <f>$G3*K3</f>
        <v>0</v>
      </c>
      <c r="T3" s="518">
        <f>$G3*L3</f>
        <v>0</v>
      </c>
      <c r="U3" s="517">
        <f>IFERROR(P3/O3,0)</f>
        <v>0</v>
      </c>
      <c r="V3" s="517">
        <f>IFERROR(R3/Q3,0)</f>
        <v>0</v>
      </c>
    </row>
    <row r="4" spans="1:22">
      <c r="A4" s="729"/>
      <c r="B4" s="729"/>
      <c r="C4" s="731"/>
      <c r="D4" s="650" t="s">
        <v>752</v>
      </c>
      <c r="E4" s="716" t="s">
        <v>469</v>
      </c>
      <c r="F4" s="717"/>
      <c r="G4" s="516">
        <f>SUM('TCO TO BE- SW'!E37:E46)</f>
        <v>3014370</v>
      </c>
      <c r="H4" s="517" t="str">
        <f t="shared" si="0"/>
        <v/>
      </c>
      <c r="I4" s="624"/>
      <c r="J4" s="624"/>
      <c r="K4" s="624"/>
      <c r="L4" s="624"/>
      <c r="M4" s="624"/>
      <c r="N4" s="624"/>
      <c r="O4" s="518">
        <f t="shared" ref="O4:O21" si="2">$G4*I4</f>
        <v>0</v>
      </c>
      <c r="P4" s="628"/>
      <c r="Q4" s="518">
        <f t="shared" si="1"/>
        <v>0</v>
      </c>
      <c r="R4" s="628">
        <v>250000</v>
      </c>
      <c r="S4" s="518">
        <f t="shared" ref="S4:S21" si="3">$G4*K4</f>
        <v>0</v>
      </c>
      <c r="T4" s="518">
        <f t="shared" ref="T4:T21" si="4">$G4*L4</f>
        <v>0</v>
      </c>
      <c r="U4" s="517">
        <f t="shared" ref="U4:U21" si="5">IFERROR(P4/O4,0)</f>
        <v>0</v>
      </c>
      <c r="V4" s="517">
        <f t="shared" ref="V4:V21" si="6">IFERROR(R4/Q4,0)</f>
        <v>0</v>
      </c>
    </row>
    <row r="5" spans="1:22">
      <c r="A5" s="729"/>
      <c r="B5" s="730"/>
      <c r="C5" s="731"/>
      <c r="D5" s="650" t="s">
        <v>751</v>
      </c>
      <c r="E5" s="716" t="s">
        <v>470</v>
      </c>
      <c r="F5" s="717"/>
      <c r="G5" s="516">
        <f>SUM('TCO TO BE- SW'!E57:E66)</f>
        <v>461074.50350000005</v>
      </c>
      <c r="H5" s="517" t="str">
        <f t="shared" si="0"/>
        <v/>
      </c>
      <c r="I5" s="624"/>
      <c r="J5" s="624"/>
      <c r="K5" s="624"/>
      <c r="L5" s="624"/>
      <c r="M5" s="624"/>
      <c r="N5" s="624"/>
      <c r="O5" s="518">
        <f t="shared" si="2"/>
        <v>0</v>
      </c>
      <c r="P5" s="628">
        <v>50000</v>
      </c>
      <c r="Q5" s="518">
        <f t="shared" si="1"/>
        <v>0</v>
      </c>
      <c r="R5" s="628"/>
      <c r="S5" s="518">
        <f t="shared" si="3"/>
        <v>0</v>
      </c>
      <c r="T5" s="518">
        <f t="shared" si="4"/>
        <v>0</v>
      </c>
      <c r="U5" s="517">
        <f t="shared" si="5"/>
        <v>0</v>
      </c>
      <c r="V5" s="517">
        <f t="shared" si="6"/>
        <v>0</v>
      </c>
    </row>
    <row r="6" spans="1:22">
      <c r="A6" s="729"/>
      <c r="B6" s="728" t="s">
        <v>468</v>
      </c>
      <c r="C6" s="731">
        <f>'TCO TO BE - HW'!E4+'TCO TO BE- SW'!E5</f>
        <v>4164919.1999999997</v>
      </c>
      <c r="D6" s="650" t="s">
        <v>751</v>
      </c>
      <c r="E6" s="716" t="s">
        <v>469</v>
      </c>
      <c r="F6" s="717"/>
      <c r="G6" s="516">
        <f>SUM('TCO TO BE- SW'!E26:E35)+SUM('TCO TO BE - HW'!E15:E34)+SUM('TCO TO BE - HW'!E45:E54)</f>
        <v>0</v>
      </c>
      <c r="H6" s="517" t="str">
        <f t="shared" si="0"/>
        <v/>
      </c>
      <c r="I6" s="624"/>
      <c r="J6" s="624"/>
      <c r="K6" s="624"/>
      <c r="L6" s="624"/>
      <c r="M6" s="624"/>
      <c r="N6" s="624"/>
      <c r="O6" s="518">
        <f t="shared" si="2"/>
        <v>0</v>
      </c>
      <c r="P6" s="628"/>
      <c r="Q6" s="518">
        <f t="shared" si="1"/>
        <v>0</v>
      </c>
      <c r="R6" s="628"/>
      <c r="S6" s="518">
        <f t="shared" si="3"/>
        <v>0</v>
      </c>
      <c r="T6" s="518">
        <f t="shared" si="4"/>
        <v>0</v>
      </c>
      <c r="U6" s="517">
        <f t="shared" si="5"/>
        <v>0</v>
      </c>
      <c r="V6" s="517">
        <f t="shared" si="6"/>
        <v>0</v>
      </c>
    </row>
    <row r="7" spans="1:22">
      <c r="A7" s="729"/>
      <c r="B7" s="729"/>
      <c r="C7" s="731"/>
      <c r="D7" s="650" t="s">
        <v>752</v>
      </c>
      <c r="E7" s="716" t="s">
        <v>469</v>
      </c>
      <c r="F7" s="717"/>
      <c r="G7" s="516">
        <f>SUM('TCO TO BE- SW'!E6:E15)+SUM('TCO TO BE - HW'!E5:E14)</f>
        <v>4164919.1999999997</v>
      </c>
      <c r="H7" s="517" t="str">
        <f t="shared" si="0"/>
        <v/>
      </c>
      <c r="I7" s="624"/>
      <c r="J7" s="624"/>
      <c r="K7" s="624"/>
      <c r="L7" s="624"/>
      <c r="M7" s="624"/>
      <c r="N7" s="624"/>
      <c r="O7" s="518">
        <f t="shared" si="2"/>
        <v>0</v>
      </c>
      <c r="P7" s="628"/>
      <c r="Q7" s="518">
        <f t="shared" si="1"/>
        <v>0</v>
      </c>
      <c r="R7" s="628"/>
      <c r="S7" s="518">
        <f t="shared" si="3"/>
        <v>0</v>
      </c>
      <c r="T7" s="518">
        <f t="shared" si="4"/>
        <v>0</v>
      </c>
      <c r="U7" s="517">
        <f t="shared" si="5"/>
        <v>0</v>
      </c>
      <c r="V7" s="517">
        <f t="shared" si="6"/>
        <v>0</v>
      </c>
    </row>
    <row r="8" spans="1:22">
      <c r="A8" s="730"/>
      <c r="B8" s="730"/>
      <c r="C8" s="731"/>
      <c r="D8" s="650" t="s">
        <v>751</v>
      </c>
      <c r="E8" s="716" t="s">
        <v>470</v>
      </c>
      <c r="F8" s="717"/>
      <c r="G8" s="516">
        <f>SUM('TCO TO BE- SW'!E16:E25)+SUM('TCO TO BE - HW'!E35:E44)</f>
        <v>0</v>
      </c>
      <c r="H8" s="517" t="str">
        <f t="shared" si="0"/>
        <v/>
      </c>
      <c r="I8" s="624"/>
      <c r="J8" s="624"/>
      <c r="K8" s="624"/>
      <c r="L8" s="624"/>
      <c r="M8" s="624"/>
      <c r="N8" s="624"/>
      <c r="O8" s="518">
        <f t="shared" si="2"/>
        <v>0</v>
      </c>
      <c r="P8" s="628"/>
      <c r="Q8" s="518">
        <f t="shared" si="1"/>
        <v>0</v>
      </c>
      <c r="R8" s="628"/>
      <c r="S8" s="518">
        <f t="shared" si="3"/>
        <v>0</v>
      </c>
      <c r="T8" s="518">
        <f t="shared" si="4"/>
        <v>0</v>
      </c>
      <c r="U8" s="517">
        <f t="shared" si="5"/>
        <v>0</v>
      </c>
      <c r="V8" s="517">
        <f t="shared" si="6"/>
        <v>0</v>
      </c>
    </row>
    <row r="9" spans="1:22">
      <c r="A9" s="728" t="s">
        <v>467</v>
      </c>
      <c r="B9" s="728" t="s">
        <v>104</v>
      </c>
      <c r="C9" s="731">
        <f>'TCO TO BE- SW'!E99</f>
        <v>1889400</v>
      </c>
      <c r="D9" s="650" t="s">
        <v>751</v>
      </c>
      <c r="E9" s="716" t="s">
        <v>469</v>
      </c>
      <c r="F9" s="717"/>
      <c r="G9" s="516">
        <f>SUM('TCO TO BE- SW'!E100:E119,'TCO TO BE- SW'!E140:E149)</f>
        <v>1889400</v>
      </c>
      <c r="H9" s="517" t="str">
        <f t="shared" si="0"/>
        <v/>
      </c>
      <c r="I9" s="624"/>
      <c r="J9" s="624"/>
      <c r="K9" s="624"/>
      <c r="L9" s="624"/>
      <c r="M9" s="624"/>
      <c r="N9" s="624"/>
      <c r="O9" s="518">
        <f t="shared" si="2"/>
        <v>0</v>
      </c>
      <c r="P9" s="628">
        <v>1000000</v>
      </c>
      <c r="Q9" s="518">
        <f t="shared" si="1"/>
        <v>0</v>
      </c>
      <c r="R9" s="628"/>
      <c r="S9" s="518">
        <f t="shared" si="3"/>
        <v>0</v>
      </c>
      <c r="T9" s="518">
        <f t="shared" si="4"/>
        <v>0</v>
      </c>
      <c r="U9" s="517">
        <f t="shared" si="5"/>
        <v>0</v>
      </c>
      <c r="V9" s="517">
        <f t="shared" si="6"/>
        <v>0</v>
      </c>
    </row>
    <row r="10" spans="1:22">
      <c r="A10" s="729"/>
      <c r="B10" s="729"/>
      <c r="C10" s="731"/>
      <c r="D10" s="650" t="s">
        <v>752</v>
      </c>
      <c r="E10" s="716" t="s">
        <v>469</v>
      </c>
      <c r="F10" s="717"/>
      <c r="G10" s="516">
        <f>SUM('TCO TO BE- SW'!E120:E129)</f>
        <v>0</v>
      </c>
      <c r="H10" s="517" t="str">
        <f t="shared" si="0"/>
        <v/>
      </c>
      <c r="I10" s="624"/>
      <c r="J10" s="624"/>
      <c r="K10" s="624"/>
      <c r="L10" s="624"/>
      <c r="M10" s="624"/>
      <c r="N10" s="624"/>
      <c r="O10" s="518">
        <f t="shared" si="2"/>
        <v>0</v>
      </c>
      <c r="P10" s="628"/>
      <c r="Q10" s="518">
        <f t="shared" si="1"/>
        <v>0</v>
      </c>
      <c r="R10" s="628">
        <v>250000</v>
      </c>
      <c r="S10" s="518">
        <f t="shared" si="3"/>
        <v>0</v>
      </c>
      <c r="T10" s="518">
        <f t="shared" si="4"/>
        <v>0</v>
      </c>
      <c r="U10" s="517">
        <f t="shared" si="5"/>
        <v>0</v>
      </c>
      <c r="V10" s="517">
        <f t="shared" si="6"/>
        <v>0</v>
      </c>
    </row>
    <row r="11" spans="1:22">
      <c r="A11" s="729"/>
      <c r="B11" s="730"/>
      <c r="C11" s="731"/>
      <c r="D11" s="650" t="s">
        <v>751</v>
      </c>
      <c r="E11" s="716" t="s">
        <v>470</v>
      </c>
      <c r="F11" s="717"/>
      <c r="G11" s="516">
        <f>SUM('TCO TO BE- SW'!E130:E139)</f>
        <v>0</v>
      </c>
      <c r="H11" s="517" t="str">
        <f t="shared" si="0"/>
        <v/>
      </c>
      <c r="I11" s="624"/>
      <c r="J11" s="624"/>
      <c r="K11" s="624"/>
      <c r="L11" s="624"/>
      <c r="M11" s="624"/>
      <c r="N11" s="624"/>
      <c r="O11" s="518">
        <f t="shared" si="2"/>
        <v>0</v>
      </c>
      <c r="P11" s="628"/>
      <c r="Q11" s="518">
        <f t="shared" si="1"/>
        <v>0</v>
      </c>
      <c r="R11" s="628"/>
      <c r="S11" s="518">
        <f t="shared" si="3"/>
        <v>0</v>
      </c>
      <c r="T11" s="518">
        <f t="shared" si="4"/>
        <v>0</v>
      </c>
      <c r="U11" s="517">
        <f t="shared" si="5"/>
        <v>0</v>
      </c>
      <c r="V11" s="517">
        <f t="shared" si="6"/>
        <v>0</v>
      </c>
    </row>
    <row r="12" spans="1:22">
      <c r="A12" s="729"/>
      <c r="B12" s="728" t="s">
        <v>458</v>
      </c>
      <c r="C12" s="731">
        <f>'TCO TO BE - HW'!E55+'TCO TO BE- SW'!E78</f>
        <v>13739144.800000001</v>
      </c>
      <c r="D12" s="650" t="s">
        <v>751</v>
      </c>
      <c r="E12" s="716" t="s">
        <v>469</v>
      </c>
      <c r="F12" s="717"/>
      <c r="G12" s="516">
        <f>SUM('TCO TO BE- SW'!E79:E88)+SUM('TCO TO BE - HW'!E56:E65,'TCO TO BE - HW'!E76:E85,'TCO TO BE - HW'!E96:E105)</f>
        <v>13739144.800000001</v>
      </c>
      <c r="H12" s="517" t="str">
        <f t="shared" si="0"/>
        <v/>
      </c>
      <c r="I12" s="624"/>
      <c r="J12" s="624"/>
      <c r="K12" s="624"/>
      <c r="L12" s="624"/>
      <c r="M12" s="624"/>
      <c r="N12" s="624"/>
      <c r="O12" s="518">
        <f t="shared" si="2"/>
        <v>0</v>
      </c>
      <c r="P12" s="628"/>
      <c r="Q12" s="518">
        <f t="shared" si="1"/>
        <v>0</v>
      </c>
      <c r="R12" s="628"/>
      <c r="S12" s="518">
        <f t="shared" si="3"/>
        <v>0</v>
      </c>
      <c r="T12" s="518">
        <f t="shared" si="4"/>
        <v>0</v>
      </c>
      <c r="U12" s="517">
        <f t="shared" si="5"/>
        <v>0</v>
      </c>
      <c r="V12" s="517">
        <f t="shared" si="6"/>
        <v>0</v>
      </c>
    </row>
    <row r="13" spans="1:22">
      <c r="A13" s="729"/>
      <c r="B13" s="729"/>
      <c r="C13" s="731"/>
      <c r="D13" s="650" t="s">
        <v>752</v>
      </c>
      <c r="E13" s="716" t="s">
        <v>469</v>
      </c>
      <c r="F13" s="717"/>
      <c r="G13" s="516">
        <f>SUM('TCO TO BE- SW'!E89:E98)+SUM('TCO TO BE - HW'!E66:E75)</f>
        <v>0</v>
      </c>
      <c r="H13" s="517">
        <f t="shared" si="0"/>
        <v>1</v>
      </c>
      <c r="I13" s="624"/>
      <c r="J13" s="624"/>
      <c r="K13" s="624"/>
      <c r="L13" s="624">
        <v>1</v>
      </c>
      <c r="M13" s="624"/>
      <c r="N13" s="624"/>
      <c r="O13" s="518">
        <f t="shared" si="2"/>
        <v>0</v>
      </c>
      <c r="P13" s="628"/>
      <c r="Q13" s="518">
        <f t="shared" si="1"/>
        <v>0</v>
      </c>
      <c r="R13" s="628"/>
      <c r="S13" s="518">
        <f t="shared" si="3"/>
        <v>0</v>
      </c>
      <c r="T13" s="518">
        <f t="shared" si="4"/>
        <v>0</v>
      </c>
      <c r="U13" s="517">
        <f t="shared" si="5"/>
        <v>0</v>
      </c>
      <c r="V13" s="517">
        <f t="shared" si="6"/>
        <v>0</v>
      </c>
    </row>
    <row r="14" spans="1:22">
      <c r="A14" s="730"/>
      <c r="B14" s="730"/>
      <c r="C14" s="731"/>
      <c r="D14" s="650" t="s">
        <v>751</v>
      </c>
      <c r="E14" s="716" t="s">
        <v>470</v>
      </c>
      <c r="F14" s="717"/>
      <c r="G14" s="516">
        <f>SUM('TCO TO BE - HW'!E86:E95)</f>
        <v>0</v>
      </c>
      <c r="H14" s="517" t="str">
        <f t="shared" si="0"/>
        <v/>
      </c>
      <c r="I14" s="624"/>
      <c r="J14" s="624"/>
      <c r="K14" s="624"/>
      <c r="L14" s="624"/>
      <c r="M14" s="624"/>
      <c r="N14" s="624"/>
      <c r="O14" s="518">
        <f t="shared" si="2"/>
        <v>0</v>
      </c>
      <c r="P14" s="628"/>
      <c r="Q14" s="518">
        <f t="shared" si="1"/>
        <v>0</v>
      </c>
      <c r="R14" s="628"/>
      <c r="S14" s="518">
        <f t="shared" si="3"/>
        <v>0</v>
      </c>
      <c r="T14" s="518">
        <f t="shared" si="4"/>
        <v>0</v>
      </c>
      <c r="U14" s="517">
        <f t="shared" si="5"/>
        <v>0</v>
      </c>
      <c r="V14" s="517">
        <f t="shared" si="6"/>
        <v>0</v>
      </c>
    </row>
    <row r="15" spans="1:22" ht="14.65" customHeight="1">
      <c r="A15" s="738" t="s">
        <v>461</v>
      </c>
      <c r="B15" s="728" t="s">
        <v>465</v>
      </c>
      <c r="C15" s="731">
        <f>SUM('TCO TO BE- SW'!E151:E160)</f>
        <v>13104</v>
      </c>
      <c r="D15" s="650" t="s">
        <v>751</v>
      </c>
      <c r="E15" s="716" t="s">
        <v>469</v>
      </c>
      <c r="F15" s="717"/>
      <c r="G15" s="518">
        <f>SUM(AKTIVITY_POZICIE!M41:M52)</f>
        <v>0</v>
      </c>
      <c r="H15" s="517" t="str">
        <f t="shared" si="0"/>
        <v/>
      </c>
      <c r="I15" s="624"/>
      <c r="J15" s="624"/>
      <c r="K15" s="624"/>
      <c r="L15" s="624"/>
      <c r="M15" s="624"/>
      <c r="N15" s="624"/>
      <c r="O15" s="518">
        <f t="shared" si="2"/>
        <v>0</v>
      </c>
      <c r="P15" s="628"/>
      <c r="Q15" s="518">
        <f t="shared" si="1"/>
        <v>0</v>
      </c>
      <c r="R15" s="628"/>
      <c r="S15" s="518">
        <f t="shared" si="3"/>
        <v>0</v>
      </c>
      <c r="T15" s="518">
        <f t="shared" si="4"/>
        <v>0</v>
      </c>
      <c r="U15" s="517">
        <f t="shared" si="5"/>
        <v>0</v>
      </c>
      <c r="V15" s="517">
        <f t="shared" si="6"/>
        <v>0</v>
      </c>
    </row>
    <row r="16" spans="1:22">
      <c r="A16" s="739"/>
      <c r="B16" s="730"/>
      <c r="C16" s="731"/>
      <c r="D16" s="650" t="s">
        <v>751</v>
      </c>
      <c r="E16" s="716" t="s">
        <v>470</v>
      </c>
      <c r="F16" s="717"/>
      <c r="G16" s="516">
        <f>SUM(POZICIE_INTERNE!I40:I51)</f>
        <v>13104</v>
      </c>
      <c r="H16" s="517" t="str">
        <f t="shared" si="0"/>
        <v/>
      </c>
      <c r="I16" s="624"/>
      <c r="J16" s="624"/>
      <c r="K16" s="624"/>
      <c r="L16" s="624"/>
      <c r="M16" s="624"/>
      <c r="N16" s="624"/>
      <c r="O16" s="518">
        <f t="shared" si="2"/>
        <v>0</v>
      </c>
      <c r="P16" s="628"/>
      <c r="Q16" s="518">
        <f t="shared" si="1"/>
        <v>0</v>
      </c>
      <c r="R16" s="628"/>
      <c r="S16" s="518">
        <f t="shared" si="3"/>
        <v>0</v>
      </c>
      <c r="T16" s="518">
        <f t="shared" si="4"/>
        <v>0</v>
      </c>
      <c r="U16" s="517">
        <f t="shared" si="5"/>
        <v>0</v>
      </c>
      <c r="V16" s="517">
        <f t="shared" si="6"/>
        <v>0</v>
      </c>
    </row>
    <row r="17" spans="1:22">
      <c r="A17" s="739"/>
      <c r="B17" s="728" t="s">
        <v>466</v>
      </c>
      <c r="C17" s="731">
        <f>SUM('TCO TO BE- SW'!E161:E170)</f>
        <v>0</v>
      </c>
      <c r="D17" s="650" t="s">
        <v>751</v>
      </c>
      <c r="E17" s="716" t="s">
        <v>469</v>
      </c>
      <c r="F17" s="717"/>
      <c r="G17" s="516">
        <f>SUM(AKTIVITY_POZICIE!M53:M64)</f>
        <v>0</v>
      </c>
      <c r="H17" s="517" t="str">
        <f t="shared" si="0"/>
        <v/>
      </c>
      <c r="I17" s="624"/>
      <c r="J17" s="624"/>
      <c r="K17" s="624"/>
      <c r="L17" s="624"/>
      <c r="M17" s="624"/>
      <c r="N17" s="624"/>
      <c r="O17" s="518">
        <f t="shared" si="2"/>
        <v>0</v>
      </c>
      <c r="P17" s="628"/>
      <c r="Q17" s="518">
        <f t="shared" si="1"/>
        <v>0</v>
      </c>
      <c r="R17" s="628"/>
      <c r="S17" s="518">
        <f t="shared" si="3"/>
        <v>0</v>
      </c>
      <c r="T17" s="518">
        <f t="shared" si="4"/>
        <v>0</v>
      </c>
      <c r="U17" s="517">
        <f t="shared" si="5"/>
        <v>0</v>
      </c>
      <c r="V17" s="517">
        <f t="shared" si="6"/>
        <v>0</v>
      </c>
    </row>
    <row r="18" spans="1:22">
      <c r="A18" s="739"/>
      <c r="B18" s="730"/>
      <c r="C18" s="731"/>
      <c r="D18" s="650" t="s">
        <v>751</v>
      </c>
      <c r="E18" s="716" t="s">
        <v>470</v>
      </c>
      <c r="F18" s="717"/>
      <c r="G18" s="516">
        <f>SUM(POZICIE_INTERNE!I52:I62)</f>
        <v>0</v>
      </c>
      <c r="H18" s="517" t="str">
        <f t="shared" si="0"/>
        <v/>
      </c>
      <c r="I18" s="624"/>
      <c r="J18" s="624"/>
      <c r="K18" s="624"/>
      <c r="L18" s="624"/>
      <c r="M18" s="624"/>
      <c r="N18" s="624"/>
      <c r="O18" s="518">
        <f t="shared" si="2"/>
        <v>0</v>
      </c>
      <c r="P18" s="628"/>
      <c r="Q18" s="518">
        <f t="shared" si="1"/>
        <v>0</v>
      </c>
      <c r="R18" s="628"/>
      <c r="S18" s="518">
        <f t="shared" si="3"/>
        <v>0</v>
      </c>
      <c r="T18" s="518">
        <f t="shared" si="4"/>
        <v>0</v>
      </c>
      <c r="U18" s="517">
        <f t="shared" si="5"/>
        <v>0</v>
      </c>
      <c r="V18" s="517">
        <f t="shared" si="6"/>
        <v>0</v>
      </c>
    </row>
    <row r="19" spans="1:22">
      <c r="A19" s="740"/>
      <c r="B19" s="667" t="s">
        <v>775</v>
      </c>
      <c r="C19" s="649"/>
      <c r="D19" s="741" t="s">
        <v>776</v>
      </c>
      <c r="E19" s="742"/>
      <c r="F19" s="666"/>
      <c r="G19" s="516">
        <f>POZICIE_INTERNE!I63</f>
        <v>0</v>
      </c>
      <c r="H19" s="517"/>
      <c r="I19" s="624"/>
      <c r="J19" s="624"/>
      <c r="K19" s="624"/>
      <c r="L19" s="624"/>
      <c r="M19" s="624"/>
      <c r="N19" s="624"/>
      <c r="O19" s="518"/>
      <c r="P19" s="628"/>
      <c r="Q19" s="518"/>
      <c r="R19" s="628"/>
      <c r="S19" s="518"/>
      <c r="T19" s="518"/>
      <c r="U19" s="517"/>
      <c r="V19" s="517"/>
    </row>
    <row r="20" spans="1:22">
      <c r="A20" s="734" t="s">
        <v>246</v>
      </c>
      <c r="B20" s="735"/>
      <c r="C20" s="731">
        <f>'TCO TO BE- SW'!E171</f>
        <v>0</v>
      </c>
      <c r="D20" s="649"/>
      <c r="E20" s="515" t="s">
        <v>469</v>
      </c>
      <c r="F20" s="624"/>
      <c r="G20" s="516">
        <f>C20*F20</f>
        <v>0</v>
      </c>
      <c r="H20" s="517" t="str">
        <f t="shared" si="0"/>
        <v/>
      </c>
      <c r="I20" s="624"/>
      <c r="J20" s="624"/>
      <c r="K20" s="624"/>
      <c r="L20" s="624"/>
      <c r="M20" s="624"/>
      <c r="N20" s="624"/>
      <c r="O20" s="518">
        <f t="shared" si="2"/>
        <v>0</v>
      </c>
      <c r="P20" s="628"/>
      <c r="Q20" s="518">
        <f t="shared" si="1"/>
        <v>0</v>
      </c>
      <c r="R20" s="628"/>
      <c r="S20" s="518">
        <f t="shared" si="3"/>
        <v>0</v>
      </c>
      <c r="T20" s="518">
        <f t="shared" si="4"/>
        <v>0</v>
      </c>
      <c r="U20" s="517">
        <f t="shared" si="5"/>
        <v>0</v>
      </c>
      <c r="V20" s="517">
        <f t="shared" si="6"/>
        <v>0</v>
      </c>
    </row>
    <row r="21" spans="1:22">
      <c r="A21" s="736"/>
      <c r="B21" s="737"/>
      <c r="C21" s="731"/>
      <c r="D21" s="649"/>
      <c r="E21" s="515" t="s">
        <v>470</v>
      </c>
      <c r="F21" s="624"/>
      <c r="G21" s="516">
        <f>F21*C20</f>
        <v>0</v>
      </c>
      <c r="H21" s="517" t="str">
        <f t="shared" si="0"/>
        <v/>
      </c>
      <c r="I21" s="624"/>
      <c r="J21" s="624"/>
      <c r="K21" s="624"/>
      <c r="L21" s="624"/>
      <c r="M21" s="624"/>
      <c r="N21" s="624"/>
      <c r="O21" s="518">
        <f t="shared" si="2"/>
        <v>0</v>
      </c>
      <c r="P21" s="628"/>
      <c r="Q21" s="518">
        <f t="shared" si="1"/>
        <v>0</v>
      </c>
      <c r="R21" s="628"/>
      <c r="S21" s="518">
        <f t="shared" si="3"/>
        <v>0</v>
      </c>
      <c r="T21" s="518">
        <f t="shared" si="4"/>
        <v>0</v>
      </c>
      <c r="U21" s="517">
        <f t="shared" si="5"/>
        <v>0</v>
      </c>
      <c r="V21" s="517">
        <f t="shared" si="6"/>
        <v>0</v>
      </c>
    </row>
    <row r="22" spans="1:22">
      <c r="A22" s="732" t="s">
        <v>35</v>
      </c>
      <c r="B22" s="733"/>
      <c r="C22" s="520">
        <f>SUM(C3:C21)</f>
        <v>30731387.5035</v>
      </c>
      <c r="D22" s="520"/>
      <c r="E22" s="515" t="s">
        <v>457</v>
      </c>
      <c r="F22" s="515"/>
      <c r="G22" s="516">
        <f>SUM(G3:G21)</f>
        <v>26016348.5035</v>
      </c>
      <c r="H22" s="521"/>
      <c r="I22" s="522"/>
      <c r="J22" s="522"/>
      <c r="K22" s="522"/>
      <c r="L22" s="522"/>
      <c r="M22" s="522"/>
      <c r="N22" s="522"/>
      <c r="O22" s="516">
        <f t="shared" ref="O22:T22" si="7">SUM(O3:O21)</f>
        <v>0</v>
      </c>
      <c r="P22" s="516">
        <f>SUM(P3:P21)</f>
        <v>1050000</v>
      </c>
      <c r="Q22" s="516">
        <f t="shared" si="7"/>
        <v>0</v>
      </c>
      <c r="R22" s="516">
        <f>SUM(R3:R21)</f>
        <v>500000</v>
      </c>
      <c r="S22" s="516">
        <f t="shared" si="7"/>
        <v>0</v>
      </c>
      <c r="T22" s="516">
        <f t="shared" si="7"/>
        <v>0</v>
      </c>
      <c r="U22" s="629"/>
      <c r="V22" s="629"/>
    </row>
  </sheetData>
  <mergeCells count="44">
    <mergeCell ref="C20:C21"/>
    <mergeCell ref="C15:C16"/>
    <mergeCell ref="C17:C18"/>
    <mergeCell ref="E15:F15"/>
    <mergeCell ref="E16:F16"/>
    <mergeCell ref="E17:F17"/>
    <mergeCell ref="E18:F18"/>
    <mergeCell ref="D19:E19"/>
    <mergeCell ref="A22:B22"/>
    <mergeCell ref="A20:B21"/>
    <mergeCell ref="B15:B16"/>
    <mergeCell ref="B17:B18"/>
    <mergeCell ref="A15:A19"/>
    <mergeCell ref="C9:C11"/>
    <mergeCell ref="C12:C14"/>
    <mergeCell ref="E3:F3"/>
    <mergeCell ref="E5:F5"/>
    <mergeCell ref="E6:F6"/>
    <mergeCell ref="E9:F9"/>
    <mergeCell ref="E11:F11"/>
    <mergeCell ref="E12:F12"/>
    <mergeCell ref="E14:F14"/>
    <mergeCell ref="E4:F4"/>
    <mergeCell ref="E7:F7"/>
    <mergeCell ref="E10:F10"/>
    <mergeCell ref="E13:F13"/>
    <mergeCell ref="B9:B11"/>
    <mergeCell ref="B12:B14"/>
    <mergeCell ref="A9:A14"/>
    <mergeCell ref="A3:A8"/>
    <mergeCell ref="B3:B5"/>
    <mergeCell ref="U1:V1"/>
    <mergeCell ref="O1:T1"/>
    <mergeCell ref="E8:F8"/>
    <mergeCell ref="A1:A2"/>
    <mergeCell ref="B1:B2"/>
    <mergeCell ref="C1:C2"/>
    <mergeCell ref="G1:G2"/>
    <mergeCell ref="H1:L1"/>
    <mergeCell ref="E1:F2"/>
    <mergeCell ref="D1:D2"/>
    <mergeCell ref="B6:B8"/>
    <mergeCell ref="C3:C5"/>
    <mergeCell ref="C6:C8"/>
  </mergeCells>
  <conditionalFormatting sqref="G22">
    <cfRule type="expression" dxfId="30" priority="6">
      <formula>$C$22=$G$22</formula>
    </cfRule>
    <cfRule type="expression" dxfId="29" priority="7">
      <formula>$C$22&lt;&gt;$G$22</formula>
    </cfRule>
  </conditionalFormatting>
  <conditionalFormatting sqref="H3:H21">
    <cfRule type="expression" dxfId="28" priority="10">
      <formula>H3=1</formula>
    </cfRule>
    <cfRule type="expression" dxfId="27" priority="11">
      <formula>H3&lt;&gt;1</formula>
    </cfRule>
  </conditionalFormatting>
  <conditionalFormatting sqref="O22 Q22">
    <cfRule type="expression" dxfId="26" priority="8">
      <formula>SUM($O$22,$Q$22,$S$22,$T$22)=$G$22</formula>
    </cfRule>
    <cfRule type="expression" dxfId="25" priority="9">
      <formula>SUM($O$22,$Q$22,$S$22,$T$22)&lt;&gt;$G$22</formula>
    </cfRule>
  </conditionalFormatting>
  <conditionalFormatting sqref="S22:T22">
    <cfRule type="expression" dxfId="24" priority="1">
      <formula>SUM($O$22,$Q$22,$S$22,$T$22)=$G$22</formula>
    </cfRule>
    <cfRule type="expression" dxfId="23" priority="2">
      <formula>SUM($O$22,$Q$22,$S$22,$T$22)&lt;&gt;$G$22</formula>
    </cfRule>
  </conditionalFormatting>
  <conditionalFormatting sqref="U3:V21">
    <cfRule type="cellIs" dxfId="22" priority="3" operator="greaterThan">
      <formula>0</formula>
    </cfRule>
  </conditionalFormatting>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árok4">
    <tabColor theme="0" tint="-0.34998626667073579"/>
  </sheetPr>
  <dimension ref="A1:L22"/>
  <sheetViews>
    <sheetView zoomScaleNormal="100" workbookViewId="0">
      <selection activeCell="F17" sqref="F17"/>
    </sheetView>
  </sheetViews>
  <sheetFormatPr defaultColWidth="8.7109375" defaultRowHeight="15"/>
  <cols>
    <col min="1" max="1" width="9.28515625" customWidth="1"/>
    <col min="2" max="7" width="13.7109375" customWidth="1"/>
    <col min="8" max="8" width="9.7109375" customWidth="1"/>
    <col min="9" max="9" width="15.28515625" customWidth="1"/>
    <col min="10" max="10" width="13" customWidth="1"/>
    <col min="11" max="11" width="14.28515625" customWidth="1"/>
    <col min="12" max="12" width="23.140625" customWidth="1"/>
  </cols>
  <sheetData>
    <row r="1" spans="1:12" ht="15.75" thickBot="1">
      <c r="A1" s="9"/>
      <c r="B1" s="745" t="s">
        <v>36</v>
      </c>
      <c r="C1" s="746"/>
      <c r="D1" s="746"/>
      <c r="E1" s="746"/>
      <c r="F1" s="746"/>
      <c r="G1" s="747"/>
      <c r="H1" s="748" t="s">
        <v>16</v>
      </c>
      <c r="I1" s="749"/>
      <c r="J1" s="749"/>
      <c r="K1" s="749"/>
      <c r="L1" s="750"/>
    </row>
    <row r="2" spans="1:12" ht="30">
      <c r="A2" s="10"/>
      <c r="B2" s="748" t="s">
        <v>255</v>
      </c>
      <c r="C2" s="749"/>
      <c r="D2" s="750"/>
      <c r="E2" s="748" t="s">
        <v>256</v>
      </c>
      <c r="F2" s="749"/>
      <c r="G2" s="750"/>
      <c r="H2" s="50" t="s">
        <v>19</v>
      </c>
      <c r="I2" s="45" t="s">
        <v>20</v>
      </c>
      <c r="J2" s="12" t="s">
        <v>21</v>
      </c>
      <c r="K2" s="751" t="s">
        <v>22</v>
      </c>
      <c r="L2" s="752"/>
    </row>
    <row r="3" spans="1:12" ht="15.75" thickBot="1">
      <c r="A3" s="11" t="s">
        <v>23</v>
      </c>
      <c r="B3" s="14" t="s">
        <v>172</v>
      </c>
      <c r="C3" s="15" t="s">
        <v>125</v>
      </c>
      <c r="D3" s="16" t="s">
        <v>24</v>
      </c>
      <c r="E3" s="14" t="s">
        <v>172</v>
      </c>
      <c r="F3" s="15" t="s">
        <v>125</v>
      </c>
      <c r="G3" s="16" t="s">
        <v>24</v>
      </c>
      <c r="H3" s="51"/>
      <c r="I3" s="46"/>
      <c r="J3" s="13"/>
      <c r="K3" s="743"/>
      <c r="L3" s="744"/>
    </row>
    <row r="4" spans="1:12">
      <c r="A4" s="44" t="s">
        <v>25</v>
      </c>
      <c r="B4" s="26">
        <f>'Prínosy - Agendové IS'!V4-'Výdavky - Agendové IS'!U4</f>
        <v>-222690.4</v>
      </c>
      <c r="C4" s="25">
        <f>'Prínosy - Agendové IS'!W4-'Výdavky - Agendové IS'!V4</f>
        <v>-3543338.4</v>
      </c>
      <c r="D4" s="32">
        <f>C4-B4</f>
        <v>-3320648</v>
      </c>
      <c r="E4" s="26">
        <f>'Prínosy - Agendové IS'!Y4-('Výdavky - Agendové IS'!U4/1.2)</f>
        <v>-5057894.6193891093</v>
      </c>
      <c r="F4" s="26">
        <f>'Prínosy - Agendové IS'!Z4-('Výdavky - Agendové IS'!V4/1.2)</f>
        <v>-4576001.6095617525</v>
      </c>
      <c r="G4" s="32">
        <f t="shared" ref="G4:G13" si="0">F4-E4</f>
        <v>481893.00982735679</v>
      </c>
      <c r="H4" s="52">
        <v>0</v>
      </c>
      <c r="I4" s="47">
        <f>D4*(1/(1+Faktory!$D$3)^H4)</f>
        <v>-3320648</v>
      </c>
      <c r="J4" s="54">
        <f>G4*(1/(1+Faktory!$D$5)^H4)</f>
        <v>481893.00982735679</v>
      </c>
      <c r="K4" s="53">
        <f>J4</f>
        <v>481893.00982735679</v>
      </c>
      <c r="L4" s="30" t="str">
        <f>IF(K4&gt;0,"Rok návratu investície","&lt;")</f>
        <v>Rok návratu investície</v>
      </c>
    </row>
    <row r="5" spans="1:12">
      <c r="A5" s="31" t="s">
        <v>26</v>
      </c>
      <c r="B5" s="26">
        <f>'Prínosy - Agendové IS'!V5-'Výdavky - Agendové IS'!U5</f>
        <v>-222690.4</v>
      </c>
      <c r="C5" s="25">
        <f>'Prínosy - Agendové IS'!W5-'Výdavky - Agendové IS'!V5</f>
        <v>-5619353.4000000004</v>
      </c>
      <c r="D5" s="28">
        <f t="shared" ref="D5:D13" si="1">C5-B5</f>
        <v>-5396663</v>
      </c>
      <c r="E5" s="26">
        <f>'Prínosy - Agendové IS'!Y5-('Výdavky - Agendové IS'!U5/1.2)</f>
        <v>-8306107.4767596284</v>
      </c>
      <c r="F5" s="26">
        <f>'Prínosy - Agendové IS'!Z5-('Výdavky - Agendové IS'!V5/1.2)</f>
        <v>-7388159.5159362555</v>
      </c>
      <c r="G5" s="28">
        <f t="shared" si="0"/>
        <v>917947.96082337294</v>
      </c>
      <c r="H5" s="52">
        <v>1</v>
      </c>
      <c r="I5" s="48">
        <f>D5*(1/(1+Faktory!$D$3)^H5)</f>
        <v>-5189099.038461538</v>
      </c>
      <c r="J5" s="55">
        <f>G5*(1/(1+Faktory!$D$5)^H5)</f>
        <v>874236.15316511702</v>
      </c>
      <c r="K5" s="53">
        <f>J5+K4</f>
        <v>1356129.1629924737</v>
      </c>
      <c r="L5" s="30" t="str">
        <f>IF(L4="&lt;",IF(K5&gt;0,"Rok návratu investície","&lt;"),"&gt;")</f>
        <v>&gt;</v>
      </c>
    </row>
    <row r="6" spans="1:12">
      <c r="A6" s="31" t="s">
        <v>27</v>
      </c>
      <c r="B6" s="26">
        <f>'Prínosy - Agendové IS'!V6-'Výdavky - Agendové IS'!U6</f>
        <v>-222690.4</v>
      </c>
      <c r="C6" s="25">
        <f>'Prínosy - Agendové IS'!W6-'Výdavky - Agendové IS'!V6</f>
        <v>-7087050.9035</v>
      </c>
      <c r="D6" s="28">
        <f t="shared" si="1"/>
        <v>-6864360.5034999996</v>
      </c>
      <c r="E6" s="26">
        <f>'Prínosy - Agendové IS'!Y6-('Výdavky - Agendové IS'!U6/1.2)</f>
        <v>-8306107.4767596284</v>
      </c>
      <c r="F6" s="26">
        <f>'Prínosy - Agendové IS'!Z6-('Výdavky - Agendové IS'!V6/1.2)</f>
        <v>-8611240.7688529212</v>
      </c>
      <c r="G6" s="28">
        <f t="shared" si="0"/>
        <v>-305133.29209329281</v>
      </c>
      <c r="H6" s="52">
        <v>2</v>
      </c>
      <c r="I6" s="48">
        <f>D6*(1/(1+Faktory!$D$3)^H6)</f>
        <v>-6346487.1519045848</v>
      </c>
      <c r="J6" s="55">
        <f>G6*(1/(1+Faktory!$D$5)^H6)</f>
        <v>-276764.89078756713</v>
      </c>
      <c r="K6" s="53">
        <f t="shared" ref="K6:K13" si="2">J6+K5</f>
        <v>1079364.2722049067</v>
      </c>
      <c r="L6" s="30" t="str">
        <f t="shared" ref="L6:L13" si="3">IF(L5="&lt;",IF(K6&gt;0,"Rok návratu investície","&lt;"),"&gt;")</f>
        <v>&gt;</v>
      </c>
    </row>
    <row r="7" spans="1:12">
      <c r="A7" s="31" t="s">
        <v>28</v>
      </c>
      <c r="B7" s="26">
        <f>'Prínosy - Agendové IS'!V7-'Výdavky - Agendové IS'!U7</f>
        <v>-222690.4</v>
      </c>
      <c r="C7" s="25">
        <f>'Prínosy - Agendové IS'!W7-'Výdavky - Agendové IS'!V7</f>
        <v>-2068806.4</v>
      </c>
      <c r="D7" s="28">
        <f t="shared" si="1"/>
        <v>-1846116</v>
      </c>
      <c r="E7" s="26">
        <f>'Prínosy - Agendové IS'!Y7-('Výdavky - Agendové IS'!U7/1.2)</f>
        <v>-8306107.4767596284</v>
      </c>
      <c r="F7" s="26">
        <f>'Prínosy - Agendové IS'!Z7-('Výdavky - Agendové IS'!V7/1.2)</f>
        <v>-4429370.3492695875</v>
      </c>
      <c r="G7" s="28">
        <f t="shared" si="0"/>
        <v>3876737.1274900408</v>
      </c>
      <c r="H7" s="52">
        <v>3</v>
      </c>
      <c r="I7" s="48">
        <f>D7*(1/(1+Faktory!$D$3)^H7)</f>
        <v>-1641190.4016841147</v>
      </c>
      <c r="J7" s="55">
        <f>G7*(1/(1+Faktory!$D$5)^H7)</f>
        <v>3348871.2903488097</v>
      </c>
      <c r="K7" s="53">
        <f t="shared" si="2"/>
        <v>4428235.5625537168</v>
      </c>
      <c r="L7" s="30" t="str">
        <f t="shared" si="3"/>
        <v>&gt;</v>
      </c>
    </row>
    <row r="8" spans="1:12">
      <c r="A8" s="31" t="s">
        <v>29</v>
      </c>
      <c r="B8" s="26">
        <f>'Prínosy - Agendové IS'!V8-'Výdavky - Agendové IS'!U8</f>
        <v>-222690.4</v>
      </c>
      <c r="C8" s="25">
        <f>'Prínosy - Agendové IS'!W8-'Výdavky - Agendové IS'!V8</f>
        <v>-2068806.4</v>
      </c>
      <c r="D8" s="28">
        <f t="shared" si="1"/>
        <v>-1846116</v>
      </c>
      <c r="E8" s="26">
        <f>'Prínosy - Agendové IS'!Y8-('Výdavky - Agendové IS'!U8/1.2)</f>
        <v>-8306107.4767596284</v>
      </c>
      <c r="F8" s="26">
        <f>'Prínosy - Agendové IS'!Z8-('Výdavky - Agendové IS'!V8/1.2)</f>
        <v>-4429370.3492695875</v>
      </c>
      <c r="G8" s="28">
        <f t="shared" si="0"/>
        <v>3876737.1274900408</v>
      </c>
      <c r="H8" s="52">
        <v>4</v>
      </c>
      <c r="I8" s="48">
        <f>D8*(1/(1+Faktory!$D$3)^H8)</f>
        <v>-1578067.6939270331</v>
      </c>
      <c r="J8" s="55">
        <f>G8*(1/(1+Faktory!$D$5)^H8)</f>
        <v>3189401.2289036284</v>
      </c>
      <c r="K8" s="53">
        <f t="shared" si="2"/>
        <v>7617636.7914573457</v>
      </c>
      <c r="L8" s="30" t="str">
        <f t="shared" si="3"/>
        <v>&gt;</v>
      </c>
    </row>
    <row r="9" spans="1:12">
      <c r="A9" s="31" t="s">
        <v>30</v>
      </c>
      <c r="B9" s="26">
        <f>'Prínosy - Agendové IS'!V9-'Výdavky - Agendové IS'!U9</f>
        <v>-222690.4</v>
      </c>
      <c r="C9" s="25">
        <f>'Prínosy - Agendové IS'!W9-'Výdavky - Agendové IS'!V9</f>
        <v>-2068806.4</v>
      </c>
      <c r="D9" s="28">
        <f t="shared" si="1"/>
        <v>-1846116</v>
      </c>
      <c r="E9" s="26">
        <f>'Prínosy - Agendové IS'!Y9-('Výdavky - Agendové IS'!U9/1.2)</f>
        <v>-8306107.4767596284</v>
      </c>
      <c r="F9" s="26">
        <f>'Prínosy - Agendové IS'!Z9-('Výdavky - Agendové IS'!V9/1.2)</f>
        <v>-4429370.3492695875</v>
      </c>
      <c r="G9" s="28">
        <f t="shared" si="0"/>
        <v>3876737.1274900408</v>
      </c>
      <c r="H9" s="52">
        <v>5</v>
      </c>
      <c r="I9" s="48">
        <f>D9*(1/(1+Faktory!$D$3)^H9)</f>
        <v>-1517372.7826221471</v>
      </c>
      <c r="J9" s="55">
        <f>G9*(1/(1+Faktory!$D$5)^H9)</f>
        <v>3037524.9799082172</v>
      </c>
      <c r="K9" s="53">
        <f t="shared" si="2"/>
        <v>10655161.771365562</v>
      </c>
      <c r="L9" s="30" t="str">
        <f t="shared" si="3"/>
        <v>&gt;</v>
      </c>
    </row>
    <row r="10" spans="1:12">
      <c r="A10" s="31" t="s">
        <v>31</v>
      </c>
      <c r="B10" s="26">
        <f>'Prínosy - Agendové IS'!V10-'Výdavky - Agendové IS'!U10</f>
        <v>-222690.4</v>
      </c>
      <c r="C10" s="25">
        <f>'Prínosy - Agendové IS'!W10-'Výdavky - Agendové IS'!V10</f>
        <v>-2068806.4</v>
      </c>
      <c r="D10" s="28">
        <f t="shared" si="1"/>
        <v>-1846116</v>
      </c>
      <c r="E10" s="26">
        <f>'Prínosy - Agendové IS'!Y10-('Výdavky - Agendové IS'!U10/1.2)</f>
        <v>-8306107.4767596284</v>
      </c>
      <c r="F10" s="26">
        <f>'Prínosy - Agendové IS'!Z10-('Výdavky - Agendové IS'!V10/1.2)</f>
        <v>-4429370.3492695875</v>
      </c>
      <c r="G10" s="28">
        <f t="shared" si="0"/>
        <v>3876737.1274900408</v>
      </c>
      <c r="H10" s="52">
        <v>6</v>
      </c>
      <c r="I10" s="48">
        <f>D10*(1/(1+Faktory!$D$3)^H10)</f>
        <v>-1459012.2909828336</v>
      </c>
      <c r="J10" s="55">
        <f>G10*(1/(1+Faktory!$D$5)^H10)</f>
        <v>2892880.933245921</v>
      </c>
      <c r="K10" s="53">
        <f t="shared" si="2"/>
        <v>13548042.704611484</v>
      </c>
      <c r="L10" s="30" t="str">
        <f t="shared" si="3"/>
        <v>&gt;</v>
      </c>
    </row>
    <row r="11" spans="1:12">
      <c r="A11" s="31" t="s">
        <v>32</v>
      </c>
      <c r="B11" s="26">
        <f>'Prínosy - Agendové IS'!V11-'Výdavky - Agendové IS'!U11</f>
        <v>-222690.4</v>
      </c>
      <c r="C11" s="25">
        <f>'Prínosy - Agendové IS'!W11-'Výdavky - Agendové IS'!V11</f>
        <v>-2068806.4</v>
      </c>
      <c r="D11" s="28">
        <f t="shared" si="1"/>
        <v>-1846116</v>
      </c>
      <c r="E11" s="26">
        <f>'Prínosy - Agendové IS'!Y11-('Výdavky - Agendové IS'!U11/1.2)</f>
        <v>-8306107.4767596284</v>
      </c>
      <c r="F11" s="26">
        <f>'Prínosy - Agendové IS'!Z11-('Výdavky - Agendové IS'!V11/1.2)</f>
        <v>-4429370.3492695875</v>
      </c>
      <c r="G11" s="28">
        <f t="shared" si="0"/>
        <v>3876737.1274900408</v>
      </c>
      <c r="H11" s="52">
        <v>7</v>
      </c>
      <c r="I11" s="48">
        <f>D11*(1/(1+Faktory!$D$3)^H11)</f>
        <v>-1402896.4336373403</v>
      </c>
      <c r="J11" s="55">
        <f>G11*(1/(1+Faktory!$D$5)^H11)</f>
        <v>2755124.6983294487</v>
      </c>
      <c r="K11" s="53">
        <f t="shared" si="2"/>
        <v>16303167.402940933</v>
      </c>
      <c r="L11" s="30" t="str">
        <f t="shared" si="3"/>
        <v>&gt;</v>
      </c>
    </row>
    <row r="12" spans="1:12">
      <c r="A12" s="31" t="s">
        <v>33</v>
      </c>
      <c r="B12" s="26">
        <f>'Prínosy - Agendové IS'!V12-'Výdavky - Agendové IS'!U12</f>
        <v>-222690.4</v>
      </c>
      <c r="C12" s="25">
        <f>'Prínosy - Agendové IS'!W12-'Výdavky - Agendové IS'!V12</f>
        <v>-2068806.4</v>
      </c>
      <c r="D12" s="28">
        <f t="shared" si="1"/>
        <v>-1846116</v>
      </c>
      <c r="E12" s="26">
        <f>'Prínosy - Agendové IS'!Y12-('Výdavky - Agendové IS'!U12/1.2)</f>
        <v>-8306107.4767596284</v>
      </c>
      <c r="F12" s="26">
        <f>'Prínosy - Agendové IS'!Z12-('Výdavky - Agendové IS'!V12/1.2)</f>
        <v>-4429370.3492695875</v>
      </c>
      <c r="G12" s="28">
        <f t="shared" si="0"/>
        <v>3876737.1274900408</v>
      </c>
      <c r="H12" s="52">
        <v>8</v>
      </c>
      <c r="I12" s="48">
        <f>D12*(1/(1+Faktory!$D$3)^H12)</f>
        <v>-1348938.8784974422</v>
      </c>
      <c r="J12" s="55">
        <f>G12*(1/(1+Faktory!$D$5)^H12)</f>
        <v>2623928.2841232847</v>
      </c>
      <c r="K12" s="53">
        <f t="shared" si="2"/>
        <v>18927095.687064216</v>
      </c>
      <c r="L12" s="30" t="str">
        <f t="shared" si="3"/>
        <v>&gt;</v>
      </c>
    </row>
    <row r="13" spans="1:12" ht="15.75" thickBot="1">
      <c r="A13" s="31" t="s">
        <v>34</v>
      </c>
      <c r="B13" s="43">
        <f>'Prínosy - Agendové IS'!V13-'Výdavky - Agendové IS'!U13</f>
        <v>-222690.4</v>
      </c>
      <c r="C13" s="39">
        <f>'Prínosy - Agendové IS'!W13-'Výdavky - Agendové IS'!V13</f>
        <v>-2068806.4</v>
      </c>
      <c r="D13" s="33">
        <f t="shared" si="1"/>
        <v>-1846116</v>
      </c>
      <c r="E13" s="26">
        <f>'Prínosy - Agendové IS'!Y13-('Výdavky - Agendové IS'!U13/1.2)</f>
        <v>-8306107.4767596284</v>
      </c>
      <c r="F13" s="26">
        <f>'Prínosy - Agendové IS'!Z13-('Výdavky - Agendové IS'!V13/1.2)</f>
        <v>-4429370.3492695875</v>
      </c>
      <c r="G13" s="33">
        <f t="shared" si="0"/>
        <v>3876737.1274900408</v>
      </c>
      <c r="H13" s="52">
        <v>9</v>
      </c>
      <c r="I13" s="49">
        <f>D13*(1/(1+Faktory!$D$3)^H13)</f>
        <v>-1297056.6139398483</v>
      </c>
      <c r="J13" s="56">
        <f>G13*(1/(1+Faktory!$D$5)^H13)</f>
        <v>2498979.3182126516</v>
      </c>
      <c r="K13" s="53">
        <f t="shared" si="2"/>
        <v>21426075.005276866</v>
      </c>
      <c r="L13" s="30" t="str">
        <f t="shared" si="3"/>
        <v>&gt;</v>
      </c>
    </row>
    <row r="14" spans="1:12" ht="15.75" thickBot="1">
      <c r="A14" s="58" t="s">
        <v>35</v>
      </c>
      <c r="B14" s="40">
        <f t="shared" ref="B14:G14" si="4">SUM(B4:B13)</f>
        <v>-2226903.9999999995</v>
      </c>
      <c r="C14" s="41">
        <f t="shared" si="4"/>
        <v>-30731387.503499992</v>
      </c>
      <c r="D14" s="41">
        <f t="shared" si="4"/>
        <v>-28504483.5035</v>
      </c>
      <c r="E14" s="41">
        <f t="shared" si="4"/>
        <v>-79812861.910225764</v>
      </c>
      <c r="F14" s="41">
        <f t="shared" si="4"/>
        <v>-51580994.339238033</v>
      </c>
      <c r="G14" s="42">
        <f t="shared" si="4"/>
        <v>28231867.57098772</v>
      </c>
      <c r="H14" s="59" t="s">
        <v>35</v>
      </c>
      <c r="I14" s="134">
        <f>SUM(I4:I13)</f>
        <v>-25100769.285656881</v>
      </c>
      <c r="J14" s="135">
        <f>SUM(J4:J13)</f>
        <v>21426075.005276866</v>
      </c>
      <c r="K14" s="7"/>
      <c r="L14" s="7"/>
    </row>
    <row r="16" spans="1:12" ht="15.75" thickBot="1">
      <c r="H16" s="97" t="s">
        <v>138</v>
      </c>
      <c r="J16" s="145" t="s">
        <v>127</v>
      </c>
      <c r="K16" s="145" t="s">
        <v>136</v>
      </c>
    </row>
    <row r="17" spans="5:11" s="114" customFormat="1" ht="23.25" thickBot="1">
      <c r="H17" s="139" t="s">
        <v>115</v>
      </c>
      <c r="I17" s="141" t="s">
        <v>133</v>
      </c>
      <c r="J17" s="142">
        <f>'Prínosy - Agendové IS'!AA16/('Výdavky - Agendové IS'!V15)</f>
        <v>1.6546973318908109</v>
      </c>
      <c r="K17" s="146">
        <v>1</v>
      </c>
    </row>
    <row r="18" spans="5:11" s="114" customFormat="1" ht="23.25" thickBot="1">
      <c r="H18" s="140" t="s">
        <v>130</v>
      </c>
      <c r="I18" s="141" t="s">
        <v>134</v>
      </c>
      <c r="J18" s="143" t="e">
        <f>IRR($D$4:$D$13,0.01)</f>
        <v>#NUM!</v>
      </c>
      <c r="K18" s="147" t="s">
        <v>137</v>
      </c>
    </row>
    <row r="19" spans="5:11" s="114" customFormat="1" ht="34.5" thickBot="1">
      <c r="E19" s="136"/>
      <c r="H19" s="140" t="s">
        <v>131</v>
      </c>
      <c r="I19" s="141" t="s">
        <v>135</v>
      </c>
      <c r="J19" s="143" t="e">
        <f>IRR($G$4:$G$13,0.01)</f>
        <v>#NUM!</v>
      </c>
      <c r="K19" s="147">
        <v>0.05</v>
      </c>
    </row>
    <row r="20" spans="5:11" ht="15.75" thickBot="1">
      <c r="H20" s="137"/>
      <c r="I20" s="138"/>
      <c r="J20" s="137"/>
      <c r="K20" s="148"/>
    </row>
    <row r="21" spans="5:11" s="114" customFormat="1" ht="34.5" thickBot="1">
      <c r="H21" s="140" t="s">
        <v>132</v>
      </c>
      <c r="I21" s="141" t="s">
        <v>259</v>
      </c>
      <c r="J21" s="144">
        <f>I14</f>
        <v>-25100769.285656881</v>
      </c>
      <c r="K21" s="149" t="s">
        <v>137</v>
      </c>
    </row>
    <row r="22" spans="5:11" s="114" customFormat="1" ht="34.5" thickBot="1">
      <c r="H22" s="140" t="s">
        <v>69</v>
      </c>
      <c r="I22" s="141" t="s">
        <v>258</v>
      </c>
      <c r="J22" s="144">
        <f>J14</f>
        <v>21426075.005276866</v>
      </c>
      <c r="K22" s="149">
        <v>0</v>
      </c>
    </row>
  </sheetData>
  <mergeCells count="6">
    <mergeCell ref="K3:L3"/>
    <mergeCell ref="B1:G1"/>
    <mergeCell ref="H1:L1"/>
    <mergeCell ref="B2:D2"/>
    <mergeCell ref="E2:G2"/>
    <mergeCell ref="K2:L2"/>
  </mergeCells>
  <conditionalFormatting sqref="L4:L13">
    <cfRule type="cellIs" dxfId="21" priority="1" stopIfTrue="1" operator="equal">
      <formula>"Rok návratu investície"</formula>
    </cfRule>
  </conditionalFormatting>
  <pageMargins left="0.7" right="0.7" top="0.75" bottom="0.75" header="0.3" footer="0.3"/>
  <pageSetup paperSize="9" scale="44"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árok7">
    <tabColor theme="0" tint="-0.34998626667073579"/>
  </sheetPr>
  <dimension ref="A1:X22"/>
  <sheetViews>
    <sheetView view="pageBreakPreview" topLeftCell="L1" zoomScaleNormal="80" zoomScaleSheetLayoutView="100" workbookViewId="0">
      <selection activeCell="W14" sqref="W14"/>
    </sheetView>
  </sheetViews>
  <sheetFormatPr defaultColWidth="8.7109375" defaultRowHeight="15"/>
  <cols>
    <col min="2" max="2" width="4.42578125" bestFit="1" customWidth="1"/>
    <col min="3" max="3" width="14.28515625" customWidth="1"/>
    <col min="4" max="4" width="15.7109375" bestFit="1" customWidth="1"/>
    <col min="5" max="5" width="16.7109375" bestFit="1" customWidth="1"/>
    <col min="6" max="7" width="13.42578125" bestFit="1" customWidth="1"/>
    <col min="8" max="8" width="16.7109375" bestFit="1" customWidth="1"/>
    <col min="9" max="9" width="14.42578125" bestFit="1" customWidth="1"/>
    <col min="10" max="10" width="13.42578125" bestFit="1" customWidth="1"/>
    <col min="11" max="11" width="16.7109375" bestFit="1" customWidth="1"/>
    <col min="12" max="17" width="16.7109375" customWidth="1"/>
    <col min="18" max="18" width="13.42578125" bestFit="1" customWidth="1"/>
    <col min="19" max="19" width="15.7109375" bestFit="1" customWidth="1"/>
    <col min="20" max="20" width="15.28515625" customWidth="1"/>
    <col min="21" max="22" width="17" bestFit="1" customWidth="1"/>
    <col min="23" max="23" width="14.28515625" bestFit="1" customWidth="1"/>
  </cols>
  <sheetData>
    <row r="1" spans="1:24" ht="15.75" customHeight="1" thickBot="1">
      <c r="A1" s="657"/>
      <c r="B1" s="658"/>
      <c r="C1" s="759" t="s">
        <v>141</v>
      </c>
      <c r="D1" s="759"/>
      <c r="E1" s="759"/>
      <c r="F1" s="759"/>
      <c r="G1" s="759"/>
      <c r="H1" s="759"/>
      <c r="I1" s="759"/>
      <c r="J1" s="759"/>
      <c r="K1" s="759"/>
      <c r="L1" s="759"/>
      <c r="M1" s="759"/>
      <c r="N1" s="760"/>
      <c r="O1" s="758" t="s">
        <v>233</v>
      </c>
      <c r="P1" s="759"/>
      <c r="Q1" s="760"/>
      <c r="R1" s="757" t="s">
        <v>67</v>
      </c>
      <c r="S1" s="757"/>
      <c r="T1" s="757"/>
      <c r="U1" s="745" t="s">
        <v>68</v>
      </c>
      <c r="V1" s="746"/>
      <c r="W1" s="747"/>
    </row>
    <row r="2" spans="1:24" ht="15.75" customHeight="1" thickBot="1">
      <c r="A2" s="659"/>
      <c r="B2" s="653"/>
      <c r="C2" s="746" t="s">
        <v>64</v>
      </c>
      <c r="D2" s="746"/>
      <c r="E2" s="747"/>
      <c r="F2" s="746" t="s">
        <v>65</v>
      </c>
      <c r="G2" s="746"/>
      <c r="H2" s="747"/>
      <c r="I2" s="746" t="s">
        <v>104</v>
      </c>
      <c r="J2" s="746"/>
      <c r="K2" s="747"/>
      <c r="L2" s="746" t="s">
        <v>249</v>
      </c>
      <c r="M2" s="746"/>
      <c r="N2" s="747"/>
      <c r="O2" s="746"/>
      <c r="P2" s="746"/>
      <c r="Q2" s="747"/>
      <c r="R2" s="746" t="s">
        <v>66</v>
      </c>
      <c r="S2" s="746"/>
      <c r="T2" s="747"/>
      <c r="U2" s="8"/>
      <c r="V2" s="8"/>
      <c r="W2" s="35"/>
    </row>
    <row r="3" spans="1:24" ht="19.149999999999999" customHeight="1" thickBot="1">
      <c r="A3" s="36" t="s">
        <v>23</v>
      </c>
      <c r="B3" s="656" t="s">
        <v>98</v>
      </c>
      <c r="C3" s="37" t="s">
        <v>172</v>
      </c>
      <c r="D3" s="37" t="s">
        <v>125</v>
      </c>
      <c r="E3" s="38" t="s">
        <v>24</v>
      </c>
      <c r="F3" s="37" t="s">
        <v>172</v>
      </c>
      <c r="G3" s="37" t="s">
        <v>125</v>
      </c>
      <c r="H3" s="38" t="s">
        <v>24</v>
      </c>
      <c r="I3" s="37" t="s">
        <v>172</v>
      </c>
      <c r="J3" s="37" t="s">
        <v>125</v>
      </c>
      <c r="K3" s="38" t="s">
        <v>24</v>
      </c>
      <c r="L3" s="37" t="s">
        <v>172</v>
      </c>
      <c r="M3" s="37" t="s">
        <v>125</v>
      </c>
      <c r="N3" s="38" t="s">
        <v>24</v>
      </c>
      <c r="O3" s="37" t="s">
        <v>172</v>
      </c>
      <c r="P3" s="37" t="s">
        <v>125</v>
      </c>
      <c r="Q3" s="38" t="s">
        <v>24</v>
      </c>
      <c r="R3" s="37" t="s">
        <v>172</v>
      </c>
      <c r="S3" s="37" t="s">
        <v>125</v>
      </c>
      <c r="T3" s="38" t="s">
        <v>24</v>
      </c>
      <c r="U3" s="37" t="s">
        <v>172</v>
      </c>
      <c r="V3" s="37" t="s">
        <v>125</v>
      </c>
      <c r="W3" s="38" t="s">
        <v>24</v>
      </c>
    </row>
    <row r="4" spans="1:24">
      <c r="A4" s="24" t="s">
        <v>25</v>
      </c>
      <c r="B4" s="63">
        <v>1</v>
      </c>
      <c r="C4" s="26">
        <f>TCO!D26+TCO!D27</f>
        <v>41600</v>
      </c>
      <c r="D4" s="25">
        <f>(TCO!D$12*(1+$X$5))+TCO!D$13</f>
        <v>138000</v>
      </c>
      <c r="E4" s="32">
        <f>D4-C4</f>
        <v>96400</v>
      </c>
      <c r="F4" s="26">
        <f>TCO!D22+TCO!D23</f>
        <v>127790.39999999999</v>
      </c>
      <c r="G4" s="25">
        <f>(TCO!D$7*(1+$X$5))+TCO!D$8</f>
        <v>948306.4</v>
      </c>
      <c r="H4" s="32">
        <f>G4-F4</f>
        <v>820516</v>
      </c>
      <c r="I4" s="25">
        <f>TCO!D24+TCO!D25</f>
        <v>53300</v>
      </c>
      <c r="J4" s="25">
        <f>(TCO!D$9*(1+$X$5))+TCO!D$10</f>
        <v>2445800</v>
      </c>
      <c r="K4" s="32">
        <f>J4-I4</f>
        <v>2392500</v>
      </c>
      <c r="L4" s="26">
        <v>0</v>
      </c>
      <c r="M4" s="26">
        <f>TCO!D11</f>
        <v>0</v>
      </c>
      <c r="N4" s="32">
        <f>M4-L4</f>
        <v>0</v>
      </c>
      <c r="O4" s="26">
        <v>0</v>
      </c>
      <c r="P4" s="26">
        <f>TCO!D14</f>
        <v>11232</v>
      </c>
      <c r="Q4" s="32">
        <f>P4-O4</f>
        <v>11232</v>
      </c>
      <c r="R4" s="26">
        <f>'Parametre - Agendové IS'!D106</f>
        <v>0</v>
      </c>
      <c r="S4" s="26">
        <f>'Parametre - Agendové IS'!E106</f>
        <v>0</v>
      </c>
      <c r="T4" s="32">
        <f t="shared" ref="T4:T13" si="0">IF(ISERR(S4-R4),"-",S4-R4)</f>
        <v>0</v>
      </c>
      <c r="U4" s="25">
        <f>SUM(C4,F4,I4,L4,O4,R4)</f>
        <v>222690.4</v>
      </c>
      <c r="V4" s="25">
        <f>((D4+G4+M4+P4+J4)*(1+$X$4))+S4</f>
        <v>3543338.4</v>
      </c>
      <c r="W4" s="32">
        <f>V4-U4</f>
        <v>3320648</v>
      </c>
      <c r="X4" s="163">
        <f>'Analyza citlivosti - AgendovéIS'!B7</f>
        <v>0</v>
      </c>
    </row>
    <row r="5" spans="1:24">
      <c r="A5" s="24" t="s">
        <v>26</v>
      </c>
      <c r="B5" s="64">
        <v>2</v>
      </c>
      <c r="C5" s="26">
        <f>TCO!E26+TCO!E27</f>
        <v>41600</v>
      </c>
      <c r="D5" s="25">
        <f>(TCO!E$12*(1+$X$5))+TCO!E$13</f>
        <v>258000</v>
      </c>
      <c r="E5" s="28">
        <f t="shared" ref="E5:E13" si="1">D5-C5</f>
        <v>216400</v>
      </c>
      <c r="F5" s="26">
        <f>TCO!E22+TCO!E23</f>
        <v>127790.39999999999</v>
      </c>
      <c r="G5" s="25">
        <f>(TCO!E$7*(1+$X$5))+TCO!E$8</f>
        <v>1605306.4</v>
      </c>
      <c r="H5" s="28">
        <f t="shared" ref="H5:H13" si="2">G5-F5</f>
        <v>1477516</v>
      </c>
      <c r="I5" s="25">
        <f>TCO!E24+TCO!E25</f>
        <v>53300</v>
      </c>
      <c r="J5" s="25">
        <f>(TCO!E$9*(1+$X$5))+TCO!E$10</f>
        <v>3754175</v>
      </c>
      <c r="K5" s="28">
        <f t="shared" ref="K5:K13" si="3">J5-I5</f>
        <v>3700875</v>
      </c>
      <c r="L5" s="26">
        <v>0</v>
      </c>
      <c r="M5" s="26">
        <f>TCO!E11</f>
        <v>0</v>
      </c>
      <c r="N5" s="28">
        <f t="shared" ref="N5:N13" si="4">M5-L5</f>
        <v>0</v>
      </c>
      <c r="O5" s="26">
        <v>0</v>
      </c>
      <c r="P5" s="26">
        <f>TCO!E14</f>
        <v>1872</v>
      </c>
      <c r="Q5" s="28">
        <f t="shared" ref="Q5:Q13" si="5">P5-O5</f>
        <v>1872</v>
      </c>
      <c r="R5" s="26">
        <f>'Parametre - Agendové IS'!D107</f>
        <v>0</v>
      </c>
      <c r="S5" s="26">
        <f>'Parametre - Agendové IS'!E107</f>
        <v>0</v>
      </c>
      <c r="T5" s="28">
        <f t="shared" si="0"/>
        <v>0</v>
      </c>
      <c r="U5" s="25">
        <f t="shared" ref="U5:U13" si="6">SUM(C5,F5,I5,L5,O5,R5)</f>
        <v>222690.4</v>
      </c>
      <c r="V5" s="25">
        <f t="shared" ref="V5:V13" si="7">((D5+G5+M5+P5+J5)*(1+$X$4))+S5</f>
        <v>5619353.4000000004</v>
      </c>
      <c r="W5" s="28">
        <f t="shared" ref="W5:W13" si="8">V5-U5</f>
        <v>5396663</v>
      </c>
      <c r="X5" s="163">
        <f>'Analyza citlivosti - AgendovéIS'!E7</f>
        <v>0</v>
      </c>
    </row>
    <row r="6" spans="1:24">
      <c r="A6" s="24" t="s">
        <v>27</v>
      </c>
      <c r="B6" s="64">
        <v>3</v>
      </c>
      <c r="C6" s="26">
        <f>TCO!F26+TCO!F27</f>
        <v>41600</v>
      </c>
      <c r="D6" s="25">
        <f>(TCO!F$12*(1+$X$5))+TCO!F$13</f>
        <v>258000</v>
      </c>
      <c r="E6" s="28">
        <f t="shared" si="1"/>
        <v>216400</v>
      </c>
      <c r="F6" s="26">
        <f>TCO!F22+TCO!F23</f>
        <v>127790.39999999999</v>
      </c>
      <c r="G6" s="25">
        <f>(TCO!F$7*(1+$X$5))+TCO!F$8</f>
        <v>1611306.4</v>
      </c>
      <c r="H6" s="28">
        <f t="shared" si="2"/>
        <v>1483516</v>
      </c>
      <c r="I6" s="25">
        <f>TCO!F24+TCO!F25</f>
        <v>53300</v>
      </c>
      <c r="J6" s="25">
        <f>(TCO!F$9*(1+$X$5))+TCO!F$10</f>
        <v>5217744.5034999996</v>
      </c>
      <c r="K6" s="28">
        <f t="shared" si="3"/>
        <v>5164444.5034999996</v>
      </c>
      <c r="L6" s="26">
        <v>0</v>
      </c>
      <c r="M6" s="26">
        <f>TCO!F11</f>
        <v>0</v>
      </c>
      <c r="N6" s="28">
        <f t="shared" si="4"/>
        <v>0</v>
      </c>
      <c r="O6" s="26">
        <v>0</v>
      </c>
      <c r="P6" s="26">
        <f>TCO!F14</f>
        <v>0</v>
      </c>
      <c r="Q6" s="28">
        <f t="shared" si="5"/>
        <v>0</v>
      </c>
      <c r="R6" s="26">
        <f>'Parametre - Agendové IS'!D108</f>
        <v>0</v>
      </c>
      <c r="S6" s="26">
        <f>'Parametre - Agendové IS'!E108</f>
        <v>0</v>
      </c>
      <c r="T6" s="28">
        <f t="shared" si="0"/>
        <v>0</v>
      </c>
      <c r="U6" s="25">
        <f t="shared" si="6"/>
        <v>222690.4</v>
      </c>
      <c r="V6" s="25">
        <f t="shared" si="7"/>
        <v>7087050.9035</v>
      </c>
      <c r="W6" s="28">
        <f t="shared" si="8"/>
        <v>6864360.5034999996</v>
      </c>
    </row>
    <row r="7" spans="1:24">
      <c r="A7" s="24" t="s">
        <v>28</v>
      </c>
      <c r="B7" s="64">
        <v>4</v>
      </c>
      <c r="C7" s="26">
        <f>TCO!G26+TCO!G27</f>
        <v>41600</v>
      </c>
      <c r="D7" s="25">
        <f>(TCO!G$12*(1+$X$5))+TCO!G$13</f>
        <v>258000</v>
      </c>
      <c r="E7" s="28">
        <f t="shared" si="1"/>
        <v>216400</v>
      </c>
      <c r="F7" s="26">
        <f>TCO!G22+TCO!G23</f>
        <v>127790.39999999999</v>
      </c>
      <c r="G7" s="25">
        <f>(TCO!G$7*(1+$X$5))+TCO!G$8</f>
        <v>1611306.4</v>
      </c>
      <c r="H7" s="28">
        <f t="shared" si="2"/>
        <v>1483516</v>
      </c>
      <c r="I7" s="25">
        <f>TCO!G24+TCO!G25</f>
        <v>53300</v>
      </c>
      <c r="J7" s="25">
        <f>(TCO!G$9*(1+$X$5))+TCO!G$10</f>
        <v>199500</v>
      </c>
      <c r="K7" s="28">
        <f t="shared" si="3"/>
        <v>146200</v>
      </c>
      <c r="L7" s="26">
        <v>0</v>
      </c>
      <c r="M7" s="26">
        <f>TCO!G11</f>
        <v>0</v>
      </c>
      <c r="N7" s="28">
        <f t="shared" si="4"/>
        <v>0</v>
      </c>
      <c r="O7" s="26">
        <v>0</v>
      </c>
      <c r="P7" s="26">
        <f>TCO!G14</f>
        <v>0</v>
      </c>
      <c r="Q7" s="28">
        <f t="shared" si="5"/>
        <v>0</v>
      </c>
      <c r="R7" s="26">
        <f>'Parametre - Agendové IS'!D109</f>
        <v>0</v>
      </c>
      <c r="S7" s="26">
        <f>'Parametre - Agendové IS'!E109</f>
        <v>0</v>
      </c>
      <c r="T7" s="28">
        <f t="shared" si="0"/>
        <v>0</v>
      </c>
      <c r="U7" s="25">
        <f t="shared" si="6"/>
        <v>222690.4</v>
      </c>
      <c r="V7" s="25">
        <f t="shared" si="7"/>
        <v>2068806.4</v>
      </c>
      <c r="W7" s="28">
        <f t="shared" si="8"/>
        <v>1846116</v>
      </c>
    </row>
    <row r="8" spans="1:24">
      <c r="A8" s="24" t="s">
        <v>29</v>
      </c>
      <c r="B8" s="64">
        <v>5</v>
      </c>
      <c r="C8" s="26">
        <f>TCO!H26+TCO!H27</f>
        <v>41600</v>
      </c>
      <c r="D8" s="25">
        <f>(TCO!H$12*(1+$X$5))+TCO!H$13</f>
        <v>258000</v>
      </c>
      <c r="E8" s="28">
        <f t="shared" si="1"/>
        <v>216400</v>
      </c>
      <c r="F8" s="26">
        <f>TCO!H22+TCO!H23</f>
        <v>127790.39999999999</v>
      </c>
      <c r="G8" s="25">
        <f>(TCO!H$7*(1+$X$5))+TCO!H$8</f>
        <v>1611306.4</v>
      </c>
      <c r="H8" s="28">
        <f t="shared" si="2"/>
        <v>1483516</v>
      </c>
      <c r="I8" s="25">
        <f>TCO!H24+TCO!H25</f>
        <v>53300</v>
      </c>
      <c r="J8" s="25">
        <f>(TCO!H$9*(1+$X$5))+TCO!H$10</f>
        <v>199500</v>
      </c>
      <c r="K8" s="28">
        <f t="shared" si="3"/>
        <v>146200</v>
      </c>
      <c r="L8" s="26">
        <v>0</v>
      </c>
      <c r="M8" s="26">
        <f>TCO!H11</f>
        <v>0</v>
      </c>
      <c r="N8" s="28">
        <f t="shared" si="4"/>
        <v>0</v>
      </c>
      <c r="O8" s="26">
        <v>0</v>
      </c>
      <c r="P8" s="26">
        <f>TCO!H14</f>
        <v>0</v>
      </c>
      <c r="Q8" s="28">
        <f t="shared" si="5"/>
        <v>0</v>
      </c>
      <c r="R8" s="26">
        <f>'Parametre - Agendové IS'!D110</f>
        <v>0</v>
      </c>
      <c r="S8" s="26">
        <f>'Parametre - Agendové IS'!E110</f>
        <v>0</v>
      </c>
      <c r="T8" s="28">
        <f t="shared" si="0"/>
        <v>0</v>
      </c>
      <c r="U8" s="25">
        <f t="shared" si="6"/>
        <v>222690.4</v>
      </c>
      <c r="V8" s="25">
        <f t="shared" si="7"/>
        <v>2068806.4</v>
      </c>
      <c r="W8" s="28">
        <f t="shared" si="8"/>
        <v>1846116</v>
      </c>
    </row>
    <row r="9" spans="1:24">
      <c r="A9" s="24" t="s">
        <v>30</v>
      </c>
      <c r="B9" s="64">
        <v>6</v>
      </c>
      <c r="C9" s="26">
        <f>TCO!I26+TCO!I27</f>
        <v>41600</v>
      </c>
      <c r="D9" s="25">
        <f>(TCO!I$12*(1+$X$5))+TCO!I$13</f>
        <v>258000</v>
      </c>
      <c r="E9" s="28">
        <f t="shared" si="1"/>
        <v>216400</v>
      </c>
      <c r="F9" s="26">
        <f>TCO!I22+TCO!I23</f>
        <v>127790.39999999999</v>
      </c>
      <c r="G9" s="25">
        <f>(TCO!I$7*(1+$X$5))+TCO!I$8</f>
        <v>1611306.4</v>
      </c>
      <c r="H9" s="28">
        <f t="shared" si="2"/>
        <v>1483516</v>
      </c>
      <c r="I9" s="25">
        <f>TCO!I24+TCO!I25</f>
        <v>53300</v>
      </c>
      <c r="J9" s="25">
        <f>(TCO!I$9*(1+$X$5))+TCO!I$10</f>
        <v>199500</v>
      </c>
      <c r="K9" s="28">
        <f t="shared" si="3"/>
        <v>146200</v>
      </c>
      <c r="L9" s="26">
        <v>0</v>
      </c>
      <c r="M9" s="26">
        <f>TCO!I11</f>
        <v>0</v>
      </c>
      <c r="N9" s="28">
        <f t="shared" si="4"/>
        <v>0</v>
      </c>
      <c r="O9" s="26">
        <v>0</v>
      </c>
      <c r="P9" s="26">
        <f>TCO!I14</f>
        <v>0</v>
      </c>
      <c r="Q9" s="28">
        <f t="shared" si="5"/>
        <v>0</v>
      </c>
      <c r="R9" s="26">
        <f>'Parametre - Agendové IS'!D111</f>
        <v>0</v>
      </c>
      <c r="S9" s="26">
        <f>'Parametre - Agendové IS'!E111</f>
        <v>0</v>
      </c>
      <c r="T9" s="28">
        <f t="shared" si="0"/>
        <v>0</v>
      </c>
      <c r="U9" s="25">
        <f t="shared" si="6"/>
        <v>222690.4</v>
      </c>
      <c r="V9" s="25">
        <f t="shared" si="7"/>
        <v>2068806.4</v>
      </c>
      <c r="W9" s="28">
        <f t="shared" si="8"/>
        <v>1846116</v>
      </c>
    </row>
    <row r="10" spans="1:24">
      <c r="A10" s="24" t="s">
        <v>31</v>
      </c>
      <c r="B10" s="64">
        <v>7</v>
      </c>
      <c r="C10" s="26">
        <f>TCO!J26+TCO!J27</f>
        <v>41600</v>
      </c>
      <c r="D10" s="25">
        <f>(TCO!J$12*(1+$X$5))+TCO!J$13</f>
        <v>258000</v>
      </c>
      <c r="E10" s="28">
        <f t="shared" si="1"/>
        <v>216400</v>
      </c>
      <c r="F10" s="26">
        <f>TCO!J22+TCO!J23</f>
        <v>127790.39999999999</v>
      </c>
      <c r="G10" s="25">
        <f>(TCO!J$7*(1+$X$5))+TCO!J$8</f>
        <v>1611306.4</v>
      </c>
      <c r="H10" s="28">
        <f t="shared" si="2"/>
        <v>1483516</v>
      </c>
      <c r="I10" s="25">
        <f>TCO!J24+TCO!J25</f>
        <v>53300</v>
      </c>
      <c r="J10" s="25">
        <f>(TCO!J$9*(1+$X$5))+TCO!J$10</f>
        <v>199500</v>
      </c>
      <c r="K10" s="28">
        <f t="shared" si="3"/>
        <v>146200</v>
      </c>
      <c r="L10" s="26">
        <v>0</v>
      </c>
      <c r="M10" s="26">
        <f>TCO!J11</f>
        <v>0</v>
      </c>
      <c r="N10" s="28">
        <f t="shared" si="4"/>
        <v>0</v>
      </c>
      <c r="O10" s="26">
        <v>0</v>
      </c>
      <c r="P10" s="26">
        <f>TCO!J14</f>
        <v>0</v>
      </c>
      <c r="Q10" s="28">
        <f t="shared" si="5"/>
        <v>0</v>
      </c>
      <c r="R10" s="26">
        <f>'Parametre - Agendové IS'!D112</f>
        <v>0</v>
      </c>
      <c r="S10" s="26">
        <f>'Parametre - Agendové IS'!E112</f>
        <v>0</v>
      </c>
      <c r="T10" s="28">
        <f t="shared" si="0"/>
        <v>0</v>
      </c>
      <c r="U10" s="25">
        <f t="shared" si="6"/>
        <v>222690.4</v>
      </c>
      <c r="V10" s="25">
        <f t="shared" si="7"/>
        <v>2068806.4</v>
      </c>
      <c r="W10" s="28">
        <f t="shared" si="8"/>
        <v>1846116</v>
      </c>
    </row>
    <row r="11" spans="1:24">
      <c r="A11" s="24" t="s">
        <v>32</v>
      </c>
      <c r="B11" s="64">
        <v>8</v>
      </c>
      <c r="C11" s="26">
        <f>TCO!K26+TCO!K27</f>
        <v>41600</v>
      </c>
      <c r="D11" s="25">
        <f>(TCO!K$12*(1+$X$5))+TCO!K$13</f>
        <v>258000</v>
      </c>
      <c r="E11" s="28">
        <f t="shared" si="1"/>
        <v>216400</v>
      </c>
      <c r="F11" s="26">
        <f>TCO!K22+TCO!K23</f>
        <v>127790.39999999999</v>
      </c>
      <c r="G11" s="25">
        <f>(TCO!K$7*(1+$X$5))+TCO!K$8</f>
        <v>1611306.4</v>
      </c>
      <c r="H11" s="28">
        <f t="shared" si="2"/>
        <v>1483516</v>
      </c>
      <c r="I11" s="25">
        <f>TCO!K24+TCO!K25</f>
        <v>53300</v>
      </c>
      <c r="J11" s="25">
        <f>(TCO!K$9*(1+$X$5))+TCO!K$10</f>
        <v>199500</v>
      </c>
      <c r="K11" s="28">
        <f t="shared" si="3"/>
        <v>146200</v>
      </c>
      <c r="L11" s="26">
        <v>0</v>
      </c>
      <c r="M11" s="26">
        <f>TCO!K11</f>
        <v>0</v>
      </c>
      <c r="N11" s="28">
        <f t="shared" si="4"/>
        <v>0</v>
      </c>
      <c r="O11" s="26">
        <v>0</v>
      </c>
      <c r="P11" s="26">
        <f>TCO!K14</f>
        <v>0</v>
      </c>
      <c r="Q11" s="28">
        <f t="shared" si="5"/>
        <v>0</v>
      </c>
      <c r="R11" s="26">
        <f>'Parametre - Agendové IS'!D113</f>
        <v>0</v>
      </c>
      <c r="S11" s="26">
        <f>'Parametre - Agendové IS'!E113</f>
        <v>0</v>
      </c>
      <c r="T11" s="28">
        <f t="shared" si="0"/>
        <v>0</v>
      </c>
      <c r="U11" s="25">
        <f t="shared" si="6"/>
        <v>222690.4</v>
      </c>
      <c r="V11" s="25">
        <f t="shared" si="7"/>
        <v>2068806.4</v>
      </c>
      <c r="W11" s="28">
        <f t="shared" si="8"/>
        <v>1846116</v>
      </c>
    </row>
    <row r="12" spans="1:24">
      <c r="A12" s="24" t="s">
        <v>33</v>
      </c>
      <c r="B12" s="64">
        <v>9</v>
      </c>
      <c r="C12" s="26">
        <f>TCO!L26+TCO!L27</f>
        <v>41600</v>
      </c>
      <c r="D12" s="25">
        <f>(TCO!L$12*(1+$X$5))+TCO!L$13</f>
        <v>258000</v>
      </c>
      <c r="E12" s="28">
        <f t="shared" si="1"/>
        <v>216400</v>
      </c>
      <c r="F12" s="26">
        <f>TCO!L22+TCO!L23</f>
        <v>127790.39999999999</v>
      </c>
      <c r="G12" s="25">
        <f>(TCO!L$7*(1+$X$5))+TCO!L$8</f>
        <v>1611306.4</v>
      </c>
      <c r="H12" s="28">
        <f t="shared" si="2"/>
        <v>1483516</v>
      </c>
      <c r="I12" s="25">
        <f>TCO!L24+TCO!L25</f>
        <v>53300</v>
      </c>
      <c r="J12" s="25">
        <f>(TCO!L$9*(1+$X$5))+TCO!L$10</f>
        <v>199500</v>
      </c>
      <c r="K12" s="28">
        <f t="shared" si="3"/>
        <v>146200</v>
      </c>
      <c r="L12" s="26">
        <v>0</v>
      </c>
      <c r="M12" s="26">
        <f>TCO!L11</f>
        <v>0</v>
      </c>
      <c r="N12" s="28">
        <f t="shared" si="4"/>
        <v>0</v>
      </c>
      <c r="O12" s="26">
        <v>0</v>
      </c>
      <c r="P12" s="26">
        <f>TCO!L14</f>
        <v>0</v>
      </c>
      <c r="Q12" s="28">
        <f t="shared" si="5"/>
        <v>0</v>
      </c>
      <c r="R12" s="26">
        <f>'Parametre - Agendové IS'!D114</f>
        <v>0</v>
      </c>
      <c r="S12" s="26">
        <f>'Parametre - Agendové IS'!E114</f>
        <v>0</v>
      </c>
      <c r="T12" s="28">
        <f t="shared" si="0"/>
        <v>0</v>
      </c>
      <c r="U12" s="25">
        <f t="shared" si="6"/>
        <v>222690.4</v>
      </c>
      <c r="V12" s="25">
        <f t="shared" si="7"/>
        <v>2068806.4</v>
      </c>
      <c r="W12" s="28">
        <f t="shared" si="8"/>
        <v>1846116</v>
      </c>
    </row>
    <row r="13" spans="1:24" ht="15.75" thickBot="1">
      <c r="A13" s="24" t="s">
        <v>34</v>
      </c>
      <c r="B13" s="65">
        <v>10</v>
      </c>
      <c r="C13" s="43">
        <f>TCO!M26+TCO!M27</f>
        <v>41600</v>
      </c>
      <c r="D13" s="39">
        <f>(TCO!M$12*(1+$X$5))+TCO!M$13</f>
        <v>258000</v>
      </c>
      <c r="E13" s="124">
        <f t="shared" si="1"/>
        <v>216400</v>
      </c>
      <c r="F13" s="26">
        <f>TCO!M22+TCO!M23</f>
        <v>127790.39999999999</v>
      </c>
      <c r="G13" s="39">
        <f>(TCO!M$7*(1+$X$5))+TCO!M$8</f>
        <v>1611306.4</v>
      </c>
      <c r="H13" s="124">
        <f t="shared" si="2"/>
        <v>1483516</v>
      </c>
      <c r="I13" s="39">
        <f>TCO!M24+TCO!M25</f>
        <v>53300</v>
      </c>
      <c r="J13" s="39">
        <f>(TCO!M$9*(1+$X$5))+TCO!M$10</f>
        <v>199500</v>
      </c>
      <c r="K13" s="124">
        <f t="shared" si="3"/>
        <v>146200</v>
      </c>
      <c r="L13" s="43">
        <v>0</v>
      </c>
      <c r="M13" s="43">
        <f>TCO!M11</f>
        <v>0</v>
      </c>
      <c r="N13" s="124">
        <f t="shared" si="4"/>
        <v>0</v>
      </c>
      <c r="O13" s="43">
        <v>0</v>
      </c>
      <c r="P13" s="43">
        <f>TCO!M14</f>
        <v>0</v>
      </c>
      <c r="Q13" s="124">
        <f t="shared" si="5"/>
        <v>0</v>
      </c>
      <c r="R13" s="43">
        <f>'Parametre - Agendové IS'!D115</f>
        <v>0</v>
      </c>
      <c r="S13" s="43">
        <f>'Parametre - Agendové IS'!E115</f>
        <v>0</v>
      </c>
      <c r="T13" s="124">
        <f t="shared" si="0"/>
        <v>0</v>
      </c>
      <c r="U13" s="25">
        <f t="shared" si="6"/>
        <v>222690.4</v>
      </c>
      <c r="V13" s="25">
        <f t="shared" si="7"/>
        <v>2068806.4</v>
      </c>
      <c r="W13" s="124">
        <f t="shared" si="8"/>
        <v>1846116</v>
      </c>
    </row>
    <row r="14" spans="1:24">
      <c r="A14" s="753" t="s">
        <v>102</v>
      </c>
      <c r="B14" s="754"/>
      <c r="C14" s="347">
        <f>SUM(C4:C13)</f>
        <v>416000</v>
      </c>
      <c r="D14" s="345">
        <f t="shared" ref="D14:T14" si="9">SUM(D4:D13)</f>
        <v>2460000</v>
      </c>
      <c r="E14" s="344">
        <f t="shared" si="9"/>
        <v>2044000</v>
      </c>
      <c r="F14" s="347">
        <f t="shared" si="9"/>
        <v>1277904</v>
      </c>
      <c r="G14" s="345">
        <f t="shared" si="9"/>
        <v>15444064.000000002</v>
      </c>
      <c r="H14" s="344">
        <f t="shared" si="9"/>
        <v>14166160</v>
      </c>
      <c r="I14" s="347">
        <f t="shared" si="9"/>
        <v>533000</v>
      </c>
      <c r="J14" s="345">
        <f t="shared" si="9"/>
        <v>12814219.5035</v>
      </c>
      <c r="K14" s="344">
        <f t="shared" si="9"/>
        <v>12281219.5035</v>
      </c>
      <c r="L14" s="347">
        <f t="shared" ref="L14:Q14" si="10">SUM(L4:L13)</f>
        <v>0</v>
      </c>
      <c r="M14" s="345">
        <f t="shared" si="10"/>
        <v>0</v>
      </c>
      <c r="N14" s="344">
        <f t="shared" si="10"/>
        <v>0</v>
      </c>
      <c r="O14" s="347">
        <f t="shared" si="10"/>
        <v>0</v>
      </c>
      <c r="P14" s="345">
        <f t="shared" si="10"/>
        <v>13104</v>
      </c>
      <c r="Q14" s="344">
        <f t="shared" si="10"/>
        <v>13104</v>
      </c>
      <c r="R14" s="347">
        <f t="shared" si="9"/>
        <v>0</v>
      </c>
      <c r="S14" s="345">
        <f t="shared" si="9"/>
        <v>0</v>
      </c>
      <c r="T14" s="344">
        <f t="shared" si="9"/>
        <v>0</v>
      </c>
      <c r="U14" s="356">
        <f>SUM(U4:U13)</f>
        <v>2226903.9999999995</v>
      </c>
      <c r="V14" s="357">
        <f>SUM(V4:V13)</f>
        <v>30731387.503499992</v>
      </c>
      <c r="W14" s="358">
        <f>SUM(W4:W13)</f>
        <v>28504483.5035</v>
      </c>
    </row>
    <row r="15" spans="1:24" ht="15.75" thickBot="1">
      <c r="A15" s="755" t="s">
        <v>119</v>
      </c>
      <c r="B15" s="756"/>
      <c r="C15" s="355"/>
      <c r="D15" s="353">
        <f>D4+NPV(Faktory!$D$5,D5:D13)</f>
        <v>1971817.9923161652</v>
      </c>
      <c r="E15" s="351">
        <f>E4+NPV(Faktory!$D$5,E5:E13)</f>
        <v>1634532.6106093728</v>
      </c>
      <c r="F15" s="355"/>
      <c r="G15" s="353">
        <f>G4+NPV(Faktory!$D$5,G5:G13)</f>
        <v>12395470.670309698</v>
      </c>
      <c r="H15" s="351">
        <f>H4+NPV(Faktory!$D$5,H5:H13)</f>
        <v>11359368.895250475</v>
      </c>
      <c r="I15" s="355"/>
      <c r="J15" s="353">
        <f>J4+NPV(Faktory!$D$5,J5:J13)</f>
        <v>11800910.880980328</v>
      </c>
      <c r="K15" s="351">
        <f>K4+NPV(Faktory!$D$5,K5:K13)</f>
        <v>11368763.985668503</v>
      </c>
      <c r="L15" s="355"/>
      <c r="M15" s="353">
        <f>M4+NPV(Faktory!$D$5,M5:M13)</f>
        <v>0</v>
      </c>
      <c r="N15" s="351">
        <f>N4+NPV(Faktory!$D$5,N5:N13)</f>
        <v>0</v>
      </c>
      <c r="O15" s="355"/>
      <c r="P15" s="353">
        <f>P4+NPV(Faktory!$D$5,P5:P13)</f>
        <v>13014.857142857143</v>
      </c>
      <c r="Q15" s="351">
        <f>Q4+NPV(Faktory!$D$5,Q5:Q13)</f>
        <v>13014.857142857143</v>
      </c>
      <c r="R15" s="355"/>
      <c r="S15" s="353">
        <f>S4+NPV(Faktory!$D$5,S5:S13)</f>
        <v>0</v>
      </c>
      <c r="T15" s="351">
        <f>T4+NPV(Faktory!$D$5,T5:T13)</f>
        <v>0</v>
      </c>
      <c r="U15" s="359"/>
      <c r="V15" s="353">
        <f>V4+NPV(Faktory!$D$5,V5:V13)</f>
        <v>26181214.400749046</v>
      </c>
      <c r="W15" s="360">
        <f>W4+NPV(Faktory!$D$5,W5:W13)</f>
        <v>24375680.348671209</v>
      </c>
    </row>
    <row r="16" spans="1:24">
      <c r="A16" s="7"/>
      <c r="B16" s="7"/>
      <c r="C16" s="7"/>
      <c r="D16" s="7"/>
      <c r="E16" s="116"/>
      <c r="F16" s="7"/>
      <c r="G16" s="7"/>
      <c r="H16" s="116"/>
      <c r="I16" s="7"/>
      <c r="J16" s="7"/>
      <c r="K16" s="116"/>
      <c r="L16" s="116"/>
      <c r="M16" s="116"/>
      <c r="N16" s="116"/>
      <c r="O16" s="116"/>
      <c r="P16" s="116"/>
      <c r="Q16" s="116"/>
      <c r="R16" s="7"/>
      <c r="S16" s="7"/>
      <c r="T16" s="116"/>
      <c r="U16" s="125"/>
      <c r="V16" s="125"/>
      <c r="W16" s="125"/>
    </row>
    <row r="17" spans="1:3">
      <c r="A17" s="7"/>
      <c r="B17" s="7"/>
      <c r="C17" s="97" t="s">
        <v>129</v>
      </c>
    </row>
    <row r="22" spans="1:3">
      <c r="C22" s="126"/>
    </row>
  </sheetData>
  <mergeCells count="12">
    <mergeCell ref="A14:B14"/>
    <mergeCell ref="A15:B15"/>
    <mergeCell ref="R1:T1"/>
    <mergeCell ref="U1:W1"/>
    <mergeCell ref="C2:E2"/>
    <mergeCell ref="F2:H2"/>
    <mergeCell ref="I2:K2"/>
    <mergeCell ref="R2:T2"/>
    <mergeCell ref="O1:Q1"/>
    <mergeCell ref="O2:Q2"/>
    <mergeCell ref="L2:N2"/>
    <mergeCell ref="C1:N1"/>
  </mergeCells>
  <pageMargins left="0.7" right="0.7" top="0.75" bottom="0.75" header="0.3" footer="0.3"/>
  <pageSetup paperSize="9" scale="25"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árok6"/>
  <dimension ref="A1:AA38"/>
  <sheetViews>
    <sheetView view="pageBreakPreview" topLeftCell="M1" zoomScaleNormal="85" zoomScaleSheetLayoutView="100" workbookViewId="0">
      <selection activeCell="Z16" sqref="Z16"/>
    </sheetView>
  </sheetViews>
  <sheetFormatPr defaultColWidth="8.7109375" defaultRowHeight="15"/>
  <cols>
    <col min="1" max="1" width="9.42578125" customWidth="1"/>
    <col min="2" max="2" width="4.42578125" bestFit="1" customWidth="1"/>
    <col min="3" max="4" width="14.28515625" bestFit="1" customWidth="1"/>
    <col min="5" max="9" width="13.42578125" customWidth="1"/>
    <col min="10" max="10" width="11.140625" customWidth="1"/>
    <col min="11" max="11" width="12" customWidth="1"/>
    <col min="13" max="13" width="12" customWidth="1"/>
    <col min="14" max="14" width="14" customWidth="1"/>
    <col min="15" max="15" width="14.7109375" customWidth="1"/>
    <col min="16" max="16" width="13.42578125" customWidth="1"/>
    <col min="17" max="17" width="13.42578125" bestFit="1" customWidth="1"/>
    <col min="18" max="21" width="13.7109375" customWidth="1"/>
    <col min="22" max="22" width="14.7109375" customWidth="1"/>
    <col min="23" max="23" width="14" customWidth="1"/>
    <col min="24" max="24" width="14.42578125" customWidth="1"/>
    <col min="25" max="25" width="14.28515625" bestFit="1" customWidth="1"/>
    <col min="26" max="26" width="13.7109375" customWidth="1"/>
    <col min="27" max="27" width="15.42578125" customWidth="1"/>
  </cols>
  <sheetData>
    <row r="1" spans="1:27" ht="15.75" customHeight="1" thickBot="1">
      <c r="A1" s="18"/>
      <c r="B1" s="35"/>
      <c r="C1" s="745" t="s">
        <v>44</v>
      </c>
      <c r="D1" s="746"/>
      <c r="E1" s="746"/>
      <c r="F1" s="746"/>
      <c r="G1" s="746"/>
      <c r="H1" s="746"/>
      <c r="I1" s="747"/>
      <c r="J1" s="745" t="s">
        <v>45</v>
      </c>
      <c r="K1" s="746"/>
      <c r="L1" s="746"/>
      <c r="M1" s="746"/>
      <c r="N1" s="746"/>
      <c r="O1" s="746"/>
      <c r="P1" s="746"/>
      <c r="Q1" s="746"/>
      <c r="R1" s="746"/>
      <c r="S1" s="746"/>
      <c r="T1" s="746"/>
      <c r="U1" s="747"/>
      <c r="V1" s="748" t="s">
        <v>46</v>
      </c>
      <c r="W1" s="749"/>
      <c r="X1" s="749"/>
      <c r="Y1" s="749"/>
      <c r="Z1" s="749"/>
      <c r="AA1" s="750"/>
    </row>
    <row r="2" spans="1:27" ht="15.75" thickBot="1">
      <c r="A2" s="655"/>
      <c r="B2" s="653"/>
      <c r="C2" s="748" t="s">
        <v>47</v>
      </c>
      <c r="D2" s="749"/>
      <c r="E2" s="750"/>
      <c r="F2" s="748" t="s">
        <v>757</v>
      </c>
      <c r="G2" s="749"/>
      <c r="H2" s="749"/>
      <c r="I2" s="750"/>
      <c r="J2" s="765" t="s">
        <v>48</v>
      </c>
      <c r="K2" s="766"/>
      <c r="L2" s="767"/>
      <c r="M2" s="768" t="s">
        <v>49</v>
      </c>
      <c r="N2" s="766"/>
      <c r="O2" s="767"/>
      <c r="P2" s="768" t="s">
        <v>50</v>
      </c>
      <c r="Q2" s="766"/>
      <c r="R2" s="767"/>
      <c r="S2" s="768" t="s">
        <v>147</v>
      </c>
      <c r="T2" s="766"/>
      <c r="U2" s="769"/>
      <c r="V2" s="749" t="s">
        <v>17</v>
      </c>
      <c r="W2" s="749"/>
      <c r="X2" s="750"/>
      <c r="Y2" s="749" t="s">
        <v>18</v>
      </c>
      <c r="Z2" s="749"/>
      <c r="AA2" s="750"/>
    </row>
    <row r="3" spans="1:27" ht="18.399999999999999" customHeight="1" thickBot="1">
      <c r="A3" s="663" t="s">
        <v>23</v>
      </c>
      <c r="B3" s="70" t="s">
        <v>98</v>
      </c>
      <c r="C3" s="22" t="s">
        <v>172</v>
      </c>
      <c r="D3" s="19" t="s">
        <v>125</v>
      </c>
      <c r="E3" s="23" t="s">
        <v>24</v>
      </c>
      <c r="F3" s="22" t="s">
        <v>64</v>
      </c>
      <c r="G3" s="19" t="s">
        <v>65</v>
      </c>
      <c r="H3" s="19" t="s">
        <v>758</v>
      </c>
      <c r="I3" s="19" t="s">
        <v>104</v>
      </c>
      <c r="J3" s="14" t="s">
        <v>172</v>
      </c>
      <c r="K3" s="15" t="s">
        <v>125</v>
      </c>
      <c r="L3" s="21" t="s">
        <v>24</v>
      </c>
      <c r="M3" s="20" t="s">
        <v>172</v>
      </c>
      <c r="N3" s="15" t="s">
        <v>125</v>
      </c>
      <c r="O3" s="21" t="s">
        <v>24</v>
      </c>
      <c r="P3" s="20" t="s">
        <v>172</v>
      </c>
      <c r="Q3" s="15" t="s">
        <v>125</v>
      </c>
      <c r="R3" s="21" t="s">
        <v>24</v>
      </c>
      <c r="S3" s="20" t="s">
        <v>172</v>
      </c>
      <c r="T3" s="15" t="s">
        <v>125</v>
      </c>
      <c r="U3" s="16" t="s">
        <v>24</v>
      </c>
      <c r="V3" s="15" t="s">
        <v>172</v>
      </c>
      <c r="W3" s="15" t="s">
        <v>125</v>
      </c>
      <c r="X3" s="16" t="s">
        <v>24</v>
      </c>
      <c r="Y3" s="15" t="s">
        <v>172</v>
      </c>
      <c r="Z3" s="15" t="s">
        <v>125</v>
      </c>
      <c r="AA3" s="16" t="s">
        <v>24</v>
      </c>
    </row>
    <row r="4" spans="1:27">
      <c r="A4" s="31" t="s">
        <v>25</v>
      </c>
      <c r="B4" s="63">
        <v>1</v>
      </c>
      <c r="C4" s="26">
        <f>'Parametre - Agendové IS'!D116</f>
        <v>0</v>
      </c>
      <c r="D4" s="26">
        <f>'Parametre - Agendové IS'!E116</f>
        <v>0</v>
      </c>
      <c r="E4" s="28">
        <f>IF(ISERR(D4-C4),"-",D4-C4)</f>
        <v>0</v>
      </c>
      <c r="F4" s="26">
        <f>IF(B4&lt;=MIN(MODULY_CBA!$N$3:$N$23),0,TCO!D26+TCO!D27)</f>
        <v>0</v>
      </c>
      <c r="G4" s="26">
        <f>IF(B4&lt;=MIN(MODULY_CBA!$N$3:$N$23),0,TCO!D22+TCO!D23)</f>
        <v>0</v>
      </c>
      <c r="H4" s="654">
        <f>IF(B4&lt;=MIN(MODULY_CBA!$N$3:$N$23),0,'Parametre - Agendové IS'!D106)</f>
        <v>0</v>
      </c>
      <c r="I4" s="28">
        <f>IF(B4&lt;=MIN(MODULY_CBA!$N$3:$N$23),0,TCO!D24+TCO!D25)</f>
        <v>0</v>
      </c>
      <c r="J4" s="238"/>
      <c r="K4" s="239"/>
      <c r="L4" s="32">
        <f t="shared" ref="L4:L13" si="0">IF(ISERR(K4-J4),"-",K4-J4)</f>
        <v>0</v>
      </c>
      <c r="M4" s="29">
        <v>0</v>
      </c>
      <c r="N4" s="25">
        <f>'Parametre - Agendové IS'!E96</f>
        <v>0</v>
      </c>
      <c r="O4" s="32">
        <f>IF(ISERR(N4-M4),"-",N4-M4)</f>
        <v>0</v>
      </c>
      <c r="P4" s="26">
        <f>'Parametre - Agendové IS'!D126</f>
        <v>0</v>
      </c>
      <c r="Q4" s="26">
        <f>'Parametre - Agendové IS'!E126</f>
        <v>1041330</v>
      </c>
      <c r="R4" s="28">
        <f>IF(ISERR(Q4-P4),"-",Q4-P4)</f>
        <v>1041330</v>
      </c>
      <c r="S4" s="25">
        <f>-'Parametre - Agendové IS'!D76</f>
        <v>-4872319.2860557763</v>
      </c>
      <c r="T4" s="25">
        <f>-'Parametre - Agendové IS'!E76</f>
        <v>-2664549.609561753</v>
      </c>
      <c r="U4" s="32">
        <f t="shared" ref="U4:U13" si="1">IF(ISERR(T4-S4),"-",T4-S4)</f>
        <v>2207769.6764940233</v>
      </c>
      <c r="V4" s="26">
        <f t="shared" ref="V4:V13" si="2">SUM(C4,J4)</f>
        <v>0</v>
      </c>
      <c r="W4" s="25">
        <f t="shared" ref="W4:W13" si="3">SUM(D4,K4)</f>
        <v>0</v>
      </c>
      <c r="X4" s="28">
        <f>W4-V4</f>
        <v>0</v>
      </c>
      <c r="Y4" s="26">
        <f>SUM(M4,P4,S4)</f>
        <v>-4872319.2860557763</v>
      </c>
      <c r="Z4" s="25">
        <f>SUM(N4,Q4,T4)</f>
        <v>-1623219.609561753</v>
      </c>
      <c r="AA4" s="28">
        <f>Z4-Y4</f>
        <v>3249099.6764940233</v>
      </c>
    </row>
    <row r="5" spans="1:27">
      <c r="A5" s="31" t="s">
        <v>26</v>
      </c>
      <c r="B5" s="64">
        <v>2</v>
      </c>
      <c r="C5" s="26">
        <f>'Parametre - Agendové IS'!D117</f>
        <v>0</v>
      </c>
      <c r="D5" s="26">
        <f>'Parametre - Agendové IS'!E117</f>
        <v>0</v>
      </c>
      <c r="E5" s="28">
        <f t="shared" ref="E5:E13" si="4">IF(ISERR(D5-C5),"-",D5-C5)</f>
        <v>0</v>
      </c>
      <c r="F5" s="26">
        <f>IF(B5&lt;=MIN(MODULY_CBA!$N$3:$N$23),0,TCO!E26+TCO!E27)</f>
        <v>41600</v>
      </c>
      <c r="G5" s="26">
        <f>IF(B5&lt;=MIN(MODULY_CBA!$N$3:$N$23),0,TCO!E22+TCO!E23)</f>
        <v>127790.39999999999</v>
      </c>
      <c r="H5" s="654">
        <f>IF(B5&lt;=MIN(MODULY_CBA!$N$3:$N$23),0,'Parametre - Agendové IS'!D107)</f>
        <v>0</v>
      </c>
      <c r="I5" s="28">
        <f>IF(B5&lt;=MIN(MODULY_CBA!$N$3:$N$23),0,TCO!E24+TCO!E25)</f>
        <v>53300</v>
      </c>
      <c r="J5" s="238"/>
      <c r="K5" s="239"/>
      <c r="L5" s="28">
        <f t="shared" si="0"/>
        <v>0</v>
      </c>
      <c r="M5" s="29">
        <v>0</v>
      </c>
      <c r="N5" s="25">
        <f>'Parametre - Agendové IS'!E97</f>
        <v>0</v>
      </c>
      <c r="O5" s="115">
        <f>IF(ISERR(N5-M5),"-",N5-M5)</f>
        <v>0</v>
      </c>
      <c r="P5" s="26">
        <f>'Parametre - Agendové IS'!D127</f>
        <v>0</v>
      </c>
      <c r="Q5" s="26">
        <f>'Parametre - Agendové IS'!E127</f>
        <v>1735551</v>
      </c>
      <c r="R5" s="28">
        <f t="shared" ref="R5:R13" si="5">IF(ISERR(Q5-P5),"-",Q5-P5)</f>
        <v>1735551</v>
      </c>
      <c r="S5" s="25">
        <f>-'Parametre - Agendové IS'!D77</f>
        <v>-8120532.1434262954</v>
      </c>
      <c r="T5" s="25">
        <f>-'Parametre - Agendové IS'!E77</f>
        <v>-4440916.0159362545</v>
      </c>
      <c r="U5" s="28">
        <f t="shared" si="1"/>
        <v>3679616.1274900408</v>
      </c>
      <c r="V5" s="26">
        <f t="shared" si="2"/>
        <v>0</v>
      </c>
      <c r="W5" s="25">
        <f t="shared" si="3"/>
        <v>0</v>
      </c>
      <c r="X5" s="28">
        <f t="shared" ref="X5:X12" si="6">W5-V5</f>
        <v>0</v>
      </c>
      <c r="Y5" s="26">
        <f t="shared" ref="Y5:Z13" si="7">SUM(M5,P5,S5)</f>
        <v>-8120532.1434262954</v>
      </c>
      <c r="Z5" s="25">
        <f t="shared" si="7"/>
        <v>-2705365.0159362545</v>
      </c>
      <c r="AA5" s="28">
        <f t="shared" ref="AA5:AA13" si="8">Z5-Y5</f>
        <v>5415167.1274900408</v>
      </c>
    </row>
    <row r="6" spans="1:27">
      <c r="A6" s="31" t="s">
        <v>27</v>
      </c>
      <c r="B6" s="64">
        <v>3</v>
      </c>
      <c r="C6" s="26">
        <f>'Parametre - Agendové IS'!D118</f>
        <v>0</v>
      </c>
      <c r="D6" s="26">
        <f>'Parametre - Agendové IS'!E118</f>
        <v>0</v>
      </c>
      <c r="E6" s="28">
        <f t="shared" si="4"/>
        <v>0</v>
      </c>
      <c r="F6" s="26">
        <f>IF(B6&lt;=MIN(MODULY_CBA!$N$3:$N$23),0,TCO!F26+TCO!F27)</f>
        <v>41600</v>
      </c>
      <c r="G6" s="26">
        <f>IF(B6&lt;=MIN(MODULY_CBA!$N$3:$N$23),0,TCO!F22+TCO!F23)</f>
        <v>127790.39999999999</v>
      </c>
      <c r="H6" s="654">
        <f>IF(B6&lt;=MIN(MODULY_CBA!$N$3:$N$23),0,'Parametre - Agendové IS'!D108)</f>
        <v>0</v>
      </c>
      <c r="I6" s="28">
        <f>IF(B6&lt;=MIN(MODULY_CBA!$N$3:$N$23),0,TCO!F24+TCO!F25)</f>
        <v>53300</v>
      </c>
      <c r="J6" s="238"/>
      <c r="K6" s="239"/>
      <c r="L6" s="28">
        <f t="shared" si="0"/>
        <v>0</v>
      </c>
      <c r="M6" s="29">
        <v>0</v>
      </c>
      <c r="N6" s="25">
        <f>'Parametre - Agendové IS'!E98</f>
        <v>0</v>
      </c>
      <c r="O6" s="28">
        <f t="shared" ref="O6:O13" si="9">IF(ISERR(N6-M6),"-",N6-M6)</f>
        <v>0</v>
      </c>
      <c r="P6" s="26">
        <f>'Parametre - Agendové IS'!D128</f>
        <v>0</v>
      </c>
      <c r="Q6" s="26">
        <f>'Parametre - Agendové IS'!E128</f>
        <v>1735551</v>
      </c>
      <c r="R6" s="28">
        <f t="shared" si="5"/>
        <v>1735551</v>
      </c>
      <c r="S6" s="25">
        <f>-'Parametre - Agendové IS'!D78</f>
        <v>-8120532.1434262954</v>
      </c>
      <c r="T6" s="25">
        <f>-'Parametre - Agendové IS'!E78</f>
        <v>-4440916.0159362545</v>
      </c>
      <c r="U6" s="28">
        <f t="shared" si="1"/>
        <v>3679616.1274900408</v>
      </c>
      <c r="V6" s="26">
        <f t="shared" si="2"/>
        <v>0</v>
      </c>
      <c r="W6" s="25">
        <f t="shared" si="3"/>
        <v>0</v>
      </c>
      <c r="X6" s="28">
        <f t="shared" si="6"/>
        <v>0</v>
      </c>
      <c r="Y6" s="26">
        <f t="shared" si="7"/>
        <v>-8120532.1434262954</v>
      </c>
      <c r="Z6" s="25">
        <f t="shared" si="7"/>
        <v>-2705365.0159362545</v>
      </c>
      <c r="AA6" s="28">
        <f t="shared" si="8"/>
        <v>5415167.1274900408</v>
      </c>
    </row>
    <row r="7" spans="1:27">
      <c r="A7" s="31" t="s">
        <v>28</v>
      </c>
      <c r="B7" s="64">
        <v>4</v>
      </c>
      <c r="C7" s="26">
        <f>'Parametre - Agendové IS'!D119</f>
        <v>0</v>
      </c>
      <c r="D7" s="26">
        <f>'Parametre - Agendové IS'!E119</f>
        <v>0</v>
      </c>
      <c r="E7" s="28">
        <f t="shared" si="4"/>
        <v>0</v>
      </c>
      <c r="F7" s="26">
        <f>IF(B7&lt;=MIN(MODULY_CBA!$N$3:$N$23),0,TCO!G26+TCO!G27)</f>
        <v>41600</v>
      </c>
      <c r="G7" s="26">
        <f>IF(B7&lt;=MIN(MODULY_CBA!$N$3:$N$23),0,TCO!G22+TCO!G23)</f>
        <v>127790.39999999999</v>
      </c>
      <c r="H7" s="654">
        <f>IF(B7&lt;=MIN(MODULY_CBA!$N$3:$N$23),0,'Parametre - Agendové IS'!D109)</f>
        <v>0</v>
      </c>
      <c r="I7" s="28">
        <f>IF(B7&lt;=MIN(MODULY_CBA!$N$3:$N$23),0,TCO!G24+TCO!G25)</f>
        <v>53300</v>
      </c>
      <c r="J7" s="238"/>
      <c r="K7" s="239"/>
      <c r="L7" s="28">
        <f t="shared" si="0"/>
        <v>0</v>
      </c>
      <c r="M7" s="29">
        <v>0</v>
      </c>
      <c r="N7" s="25">
        <f>'Parametre - Agendové IS'!E99</f>
        <v>0</v>
      </c>
      <c r="O7" s="28">
        <f t="shared" si="9"/>
        <v>0</v>
      </c>
      <c r="P7" s="26">
        <f>'Parametre - Agendové IS'!D129</f>
        <v>0</v>
      </c>
      <c r="Q7" s="26">
        <f>'Parametre - Agendové IS'!E129</f>
        <v>1735551</v>
      </c>
      <c r="R7" s="28">
        <f t="shared" si="5"/>
        <v>1735551</v>
      </c>
      <c r="S7" s="25">
        <f>-'Parametre - Agendové IS'!D79</f>
        <v>-8120532.1434262954</v>
      </c>
      <c r="T7" s="25">
        <f>-'Parametre - Agendové IS'!E79</f>
        <v>-4440916.0159362545</v>
      </c>
      <c r="U7" s="28">
        <f t="shared" si="1"/>
        <v>3679616.1274900408</v>
      </c>
      <c r="V7" s="26">
        <f t="shared" si="2"/>
        <v>0</v>
      </c>
      <c r="W7" s="25">
        <f t="shared" si="3"/>
        <v>0</v>
      </c>
      <c r="X7" s="28">
        <f t="shared" si="6"/>
        <v>0</v>
      </c>
      <c r="Y7" s="26">
        <f t="shared" si="7"/>
        <v>-8120532.1434262954</v>
      </c>
      <c r="Z7" s="25">
        <f t="shared" si="7"/>
        <v>-2705365.0159362545</v>
      </c>
      <c r="AA7" s="28">
        <f t="shared" si="8"/>
        <v>5415167.1274900408</v>
      </c>
    </row>
    <row r="8" spans="1:27">
      <c r="A8" s="31" t="s">
        <v>29</v>
      </c>
      <c r="B8" s="64">
        <v>5</v>
      </c>
      <c r="C8" s="26">
        <f>'Parametre - Agendové IS'!D120</f>
        <v>0</v>
      </c>
      <c r="D8" s="26">
        <f>'Parametre - Agendové IS'!E120</f>
        <v>0</v>
      </c>
      <c r="E8" s="28">
        <f t="shared" si="4"/>
        <v>0</v>
      </c>
      <c r="F8" s="26">
        <f>IF(B8&lt;=MIN(MODULY_CBA!$N$3:$N$23),0,TCO!H26+TCO!H27)</f>
        <v>41600</v>
      </c>
      <c r="G8" s="26">
        <f>IF(B8&lt;=MIN(MODULY_CBA!$N$3:$N$23),0,TCO!H22+TCO!H23)</f>
        <v>127790.39999999999</v>
      </c>
      <c r="H8" s="654">
        <f>IF(B8&lt;=MIN(MODULY_CBA!$N$3:$N$23),0,'Parametre - Agendové IS'!D110)</f>
        <v>0</v>
      </c>
      <c r="I8" s="28">
        <f>IF(B8&lt;=MIN(MODULY_CBA!$N$3:$N$23),0,TCO!H24+TCO!H25)</f>
        <v>53300</v>
      </c>
      <c r="J8" s="238"/>
      <c r="K8" s="239"/>
      <c r="L8" s="28">
        <f t="shared" si="0"/>
        <v>0</v>
      </c>
      <c r="M8" s="29">
        <v>0</v>
      </c>
      <c r="N8" s="25">
        <f>'Parametre - Agendové IS'!E100</f>
        <v>0</v>
      </c>
      <c r="O8" s="28">
        <f t="shared" si="9"/>
        <v>0</v>
      </c>
      <c r="P8" s="26">
        <f>'Parametre - Agendové IS'!D130</f>
        <v>0</v>
      </c>
      <c r="Q8" s="26">
        <f>'Parametre - Agendové IS'!E130</f>
        <v>1735551</v>
      </c>
      <c r="R8" s="28">
        <f t="shared" si="5"/>
        <v>1735551</v>
      </c>
      <c r="S8" s="25">
        <f>-'Parametre - Agendové IS'!D80</f>
        <v>-8120532.1434262954</v>
      </c>
      <c r="T8" s="25">
        <f>-'Parametre - Agendové IS'!E80</f>
        <v>-4440916.0159362545</v>
      </c>
      <c r="U8" s="28">
        <f t="shared" si="1"/>
        <v>3679616.1274900408</v>
      </c>
      <c r="V8" s="26">
        <f t="shared" si="2"/>
        <v>0</v>
      </c>
      <c r="W8" s="25">
        <f t="shared" si="3"/>
        <v>0</v>
      </c>
      <c r="X8" s="28">
        <f t="shared" si="6"/>
        <v>0</v>
      </c>
      <c r="Y8" s="26">
        <f t="shared" si="7"/>
        <v>-8120532.1434262954</v>
      </c>
      <c r="Z8" s="25">
        <f t="shared" si="7"/>
        <v>-2705365.0159362545</v>
      </c>
      <c r="AA8" s="28">
        <f t="shared" si="8"/>
        <v>5415167.1274900408</v>
      </c>
    </row>
    <row r="9" spans="1:27">
      <c r="A9" s="31" t="s">
        <v>30</v>
      </c>
      <c r="B9" s="64">
        <v>6</v>
      </c>
      <c r="C9" s="26">
        <f>'Parametre - Agendové IS'!D121</f>
        <v>0</v>
      </c>
      <c r="D9" s="26">
        <f>'Parametre - Agendové IS'!E121</f>
        <v>0</v>
      </c>
      <c r="E9" s="28">
        <f t="shared" si="4"/>
        <v>0</v>
      </c>
      <c r="F9" s="26">
        <f>IF(B9&lt;=MIN(MODULY_CBA!$N$3:$N$23),0,TCO!I26+TCO!I27)</f>
        <v>41600</v>
      </c>
      <c r="G9" s="26">
        <f>IF(B9&lt;=MIN(MODULY_CBA!$N$3:$N$23),0,TCO!I22+TCO!I23)</f>
        <v>127790.39999999999</v>
      </c>
      <c r="H9" s="654">
        <f>IF(B9&lt;=MIN(MODULY_CBA!$N$3:$N$23),0,'Parametre - Agendové IS'!D111)</f>
        <v>0</v>
      </c>
      <c r="I9" s="28">
        <f>IF(B9&lt;=MIN(MODULY_CBA!$N$3:$N$23),0,TCO!I24+TCO!I25)</f>
        <v>53300</v>
      </c>
      <c r="J9" s="238"/>
      <c r="K9" s="239"/>
      <c r="L9" s="28">
        <f t="shared" si="0"/>
        <v>0</v>
      </c>
      <c r="M9" s="29">
        <v>0</v>
      </c>
      <c r="N9" s="25">
        <f>'Parametre - Agendové IS'!E101</f>
        <v>0</v>
      </c>
      <c r="O9" s="28">
        <f t="shared" si="9"/>
        <v>0</v>
      </c>
      <c r="P9" s="26">
        <f>'Parametre - Agendové IS'!D131</f>
        <v>0</v>
      </c>
      <c r="Q9" s="26">
        <f>'Parametre - Agendové IS'!E131</f>
        <v>1735551</v>
      </c>
      <c r="R9" s="28">
        <f t="shared" si="5"/>
        <v>1735551</v>
      </c>
      <c r="S9" s="25">
        <f>-'Parametre - Agendové IS'!D81</f>
        <v>-8120532.1434262954</v>
      </c>
      <c r="T9" s="25">
        <f>-'Parametre - Agendové IS'!E81</f>
        <v>-4440916.0159362545</v>
      </c>
      <c r="U9" s="28">
        <f t="shared" si="1"/>
        <v>3679616.1274900408</v>
      </c>
      <c r="V9" s="26">
        <f t="shared" si="2"/>
        <v>0</v>
      </c>
      <c r="W9" s="25">
        <f t="shared" si="3"/>
        <v>0</v>
      </c>
      <c r="X9" s="28">
        <f t="shared" si="6"/>
        <v>0</v>
      </c>
      <c r="Y9" s="26">
        <f t="shared" si="7"/>
        <v>-8120532.1434262954</v>
      </c>
      <c r="Z9" s="25">
        <f t="shared" si="7"/>
        <v>-2705365.0159362545</v>
      </c>
      <c r="AA9" s="28">
        <f t="shared" si="8"/>
        <v>5415167.1274900408</v>
      </c>
    </row>
    <row r="10" spans="1:27">
      <c r="A10" s="31" t="s">
        <v>31</v>
      </c>
      <c r="B10" s="64">
        <v>7</v>
      </c>
      <c r="C10" s="26">
        <f>'Parametre - Agendové IS'!D122</f>
        <v>0</v>
      </c>
      <c r="D10" s="26">
        <f>'Parametre - Agendové IS'!E122</f>
        <v>0</v>
      </c>
      <c r="E10" s="28">
        <f t="shared" si="4"/>
        <v>0</v>
      </c>
      <c r="F10" s="26">
        <f>IF(B10&lt;=MIN(MODULY_CBA!$N$3:$N$23),0,TCO!J26+TCO!J27)</f>
        <v>41600</v>
      </c>
      <c r="G10" s="26">
        <f>IF(B10&lt;=MIN(MODULY_CBA!$N$3:$N$23),0,TCO!J22+TCO!J23)</f>
        <v>127790.39999999999</v>
      </c>
      <c r="H10" s="654">
        <f>IF(B10&lt;=MIN(MODULY_CBA!$N$3:$N$23),0,'Parametre - Agendové IS'!D112)</f>
        <v>0</v>
      </c>
      <c r="I10" s="28">
        <f>IF(B10&lt;=MIN(MODULY_CBA!$N$3:$N$23),0,TCO!J24+TCO!J25)</f>
        <v>53300</v>
      </c>
      <c r="J10" s="238"/>
      <c r="K10" s="239"/>
      <c r="L10" s="28">
        <f t="shared" si="0"/>
        <v>0</v>
      </c>
      <c r="M10" s="29">
        <v>0</v>
      </c>
      <c r="N10" s="25">
        <f>'Parametre - Agendové IS'!E102</f>
        <v>0</v>
      </c>
      <c r="O10" s="28">
        <f t="shared" si="9"/>
        <v>0</v>
      </c>
      <c r="P10" s="26">
        <f>'Parametre - Agendové IS'!D132</f>
        <v>0</v>
      </c>
      <c r="Q10" s="26">
        <f>'Parametre - Agendové IS'!E132</f>
        <v>1735551</v>
      </c>
      <c r="R10" s="28">
        <f t="shared" si="5"/>
        <v>1735551</v>
      </c>
      <c r="S10" s="25">
        <f>-'Parametre - Agendové IS'!D82</f>
        <v>-8120532.1434262954</v>
      </c>
      <c r="T10" s="25">
        <f>-'Parametre - Agendové IS'!E82</f>
        <v>-4440916.0159362545</v>
      </c>
      <c r="U10" s="28">
        <f t="shared" si="1"/>
        <v>3679616.1274900408</v>
      </c>
      <c r="V10" s="26">
        <f t="shared" si="2"/>
        <v>0</v>
      </c>
      <c r="W10" s="25">
        <f t="shared" si="3"/>
        <v>0</v>
      </c>
      <c r="X10" s="28">
        <f t="shared" si="6"/>
        <v>0</v>
      </c>
      <c r="Y10" s="26">
        <f t="shared" si="7"/>
        <v>-8120532.1434262954</v>
      </c>
      <c r="Z10" s="25">
        <f t="shared" si="7"/>
        <v>-2705365.0159362545</v>
      </c>
      <c r="AA10" s="28">
        <f t="shared" si="8"/>
        <v>5415167.1274900408</v>
      </c>
    </row>
    <row r="11" spans="1:27">
      <c r="A11" s="31" t="s">
        <v>32</v>
      </c>
      <c r="B11" s="64">
        <v>8</v>
      </c>
      <c r="C11" s="26">
        <f>'Parametre - Agendové IS'!D123</f>
        <v>0</v>
      </c>
      <c r="D11" s="26">
        <f>'Parametre - Agendové IS'!E123</f>
        <v>0</v>
      </c>
      <c r="E11" s="28">
        <f t="shared" si="4"/>
        <v>0</v>
      </c>
      <c r="F11" s="26">
        <f>IF(B11&lt;=MIN(MODULY_CBA!$N$3:$N$23),0,TCO!K26+TCO!K27)</f>
        <v>41600</v>
      </c>
      <c r="G11" s="26">
        <f>IF(B11&lt;=MIN(MODULY_CBA!$N$3:$N$23),0,TCO!K22+TCO!K23)</f>
        <v>127790.39999999999</v>
      </c>
      <c r="H11" s="654">
        <f>IF(B11&lt;=MIN(MODULY_CBA!$N$3:$N$23),0,'Parametre - Agendové IS'!D113)</f>
        <v>0</v>
      </c>
      <c r="I11" s="28">
        <f>IF(B11&lt;=MIN(MODULY_CBA!$N$3:$N$23),0,TCO!K24+TCO!K25)</f>
        <v>53300</v>
      </c>
      <c r="J11" s="238"/>
      <c r="K11" s="239"/>
      <c r="L11" s="28">
        <f t="shared" si="0"/>
        <v>0</v>
      </c>
      <c r="M11" s="29">
        <v>0</v>
      </c>
      <c r="N11" s="25">
        <f>'Parametre - Agendové IS'!E103</f>
        <v>0</v>
      </c>
      <c r="O11" s="28">
        <f t="shared" si="9"/>
        <v>0</v>
      </c>
      <c r="P11" s="26">
        <f>'Parametre - Agendové IS'!D133</f>
        <v>0</v>
      </c>
      <c r="Q11" s="26">
        <f>'Parametre - Agendové IS'!E133</f>
        <v>1735551</v>
      </c>
      <c r="R11" s="28">
        <f t="shared" si="5"/>
        <v>1735551</v>
      </c>
      <c r="S11" s="25">
        <f>-'Parametre - Agendové IS'!D83</f>
        <v>-8120532.1434262954</v>
      </c>
      <c r="T11" s="25">
        <f>-'Parametre - Agendové IS'!E83</f>
        <v>-4440916.0159362545</v>
      </c>
      <c r="U11" s="28">
        <f t="shared" si="1"/>
        <v>3679616.1274900408</v>
      </c>
      <c r="V11" s="26">
        <f t="shared" si="2"/>
        <v>0</v>
      </c>
      <c r="W11" s="25">
        <f t="shared" si="3"/>
        <v>0</v>
      </c>
      <c r="X11" s="28">
        <f t="shared" si="6"/>
        <v>0</v>
      </c>
      <c r="Y11" s="26">
        <f t="shared" si="7"/>
        <v>-8120532.1434262954</v>
      </c>
      <c r="Z11" s="25">
        <f t="shared" si="7"/>
        <v>-2705365.0159362545</v>
      </c>
      <c r="AA11" s="28">
        <f t="shared" si="8"/>
        <v>5415167.1274900408</v>
      </c>
    </row>
    <row r="12" spans="1:27">
      <c r="A12" s="31" t="s">
        <v>33</v>
      </c>
      <c r="B12" s="64">
        <v>9</v>
      </c>
      <c r="C12" s="26">
        <f>'Parametre - Agendové IS'!D124</f>
        <v>0</v>
      </c>
      <c r="D12" s="26">
        <f>'Parametre - Agendové IS'!E124</f>
        <v>0</v>
      </c>
      <c r="E12" s="28">
        <f t="shared" si="4"/>
        <v>0</v>
      </c>
      <c r="F12" s="26">
        <f>IF(B12&lt;=MIN(MODULY_CBA!$N$3:$N$23),0,TCO!L26+TCO!L27)</f>
        <v>41600</v>
      </c>
      <c r="G12" s="26">
        <f>IF(B12&lt;=MIN(MODULY_CBA!$N$3:$N$23),0,TCO!L22+TCO!L23)</f>
        <v>127790.39999999999</v>
      </c>
      <c r="H12" s="654">
        <f>IF(B12&lt;=MIN(MODULY_CBA!$N$3:$N$23),0,'Parametre - Agendové IS'!D114)</f>
        <v>0</v>
      </c>
      <c r="I12" s="28">
        <f>IF(B12&lt;=MIN(MODULY_CBA!$N$3:$N$23),0,TCO!L24+TCO!L25)</f>
        <v>53300</v>
      </c>
      <c r="J12" s="238"/>
      <c r="K12" s="239"/>
      <c r="L12" s="28">
        <f t="shared" si="0"/>
        <v>0</v>
      </c>
      <c r="M12" s="29">
        <v>0</v>
      </c>
      <c r="N12" s="25">
        <f>'Parametre - Agendové IS'!E104</f>
        <v>0</v>
      </c>
      <c r="O12" s="28">
        <f t="shared" si="9"/>
        <v>0</v>
      </c>
      <c r="P12" s="26">
        <f>'Parametre - Agendové IS'!D134</f>
        <v>0</v>
      </c>
      <c r="Q12" s="26">
        <f>'Parametre - Agendové IS'!E134</f>
        <v>1735551</v>
      </c>
      <c r="R12" s="28">
        <f t="shared" si="5"/>
        <v>1735551</v>
      </c>
      <c r="S12" s="25">
        <f>-'Parametre - Agendové IS'!D84</f>
        <v>-8120532.1434262954</v>
      </c>
      <c r="T12" s="25">
        <f>-'Parametre - Agendové IS'!E84</f>
        <v>-4440916.0159362545</v>
      </c>
      <c r="U12" s="28">
        <f t="shared" si="1"/>
        <v>3679616.1274900408</v>
      </c>
      <c r="V12" s="26">
        <f t="shared" si="2"/>
        <v>0</v>
      </c>
      <c r="W12" s="25">
        <f t="shared" si="3"/>
        <v>0</v>
      </c>
      <c r="X12" s="28">
        <f t="shared" si="6"/>
        <v>0</v>
      </c>
      <c r="Y12" s="26">
        <f t="shared" si="7"/>
        <v>-8120532.1434262954</v>
      </c>
      <c r="Z12" s="25">
        <f t="shared" si="7"/>
        <v>-2705365.0159362545</v>
      </c>
      <c r="AA12" s="28">
        <f t="shared" si="8"/>
        <v>5415167.1274900408</v>
      </c>
    </row>
    <row r="13" spans="1:27" ht="15.4" customHeight="1" thickBot="1">
      <c r="A13" s="31" t="s">
        <v>34</v>
      </c>
      <c r="B13" s="65">
        <v>10</v>
      </c>
      <c r="C13" s="43">
        <f>'Parametre - Agendové IS'!D125</f>
        <v>0</v>
      </c>
      <c r="D13" s="43">
        <f>'Parametre - Agendové IS'!E125</f>
        <v>0</v>
      </c>
      <c r="E13" s="124">
        <f t="shared" si="4"/>
        <v>0</v>
      </c>
      <c r="F13" s="26">
        <f>IF(B13&lt;=MIN(MODULY_CBA!$N$3:$N$23),0,TCO!M26+TCO!M27)</f>
        <v>41600</v>
      </c>
      <c r="G13" s="26">
        <f>IF(B13&lt;=MIN(MODULY_CBA!$N$3:$N$23),0,TCO!M22+TCO!M23)</f>
        <v>127790.39999999999</v>
      </c>
      <c r="H13" s="654">
        <f>IF(B13&lt;=MIN(MODULY_CBA!$N$3:$N$23),0,'Parametre - Agendové IS'!D115)</f>
        <v>0</v>
      </c>
      <c r="I13" s="124">
        <f>IF(B13&lt;=MIN(MODULY_CBA!$N$3:$N$23),0,TCO!M24+TCO!M25)</f>
        <v>53300</v>
      </c>
      <c r="J13" s="240"/>
      <c r="K13" s="241"/>
      <c r="L13" s="124">
        <f t="shared" si="0"/>
        <v>0</v>
      </c>
      <c r="M13" s="29">
        <v>0</v>
      </c>
      <c r="N13" s="39">
        <f>'Parametre - Agendové IS'!E105</f>
        <v>0</v>
      </c>
      <c r="O13" s="124">
        <f t="shared" si="9"/>
        <v>0</v>
      </c>
      <c r="P13" s="43">
        <f>'Parametre - Agendové IS'!D135</f>
        <v>0</v>
      </c>
      <c r="Q13" s="43">
        <f>'Parametre - Agendové IS'!E135</f>
        <v>1735551</v>
      </c>
      <c r="R13" s="124">
        <f t="shared" si="5"/>
        <v>1735551</v>
      </c>
      <c r="S13" s="39">
        <f>-'Parametre - Agendové IS'!D85</f>
        <v>-8120532.1434262954</v>
      </c>
      <c r="T13" s="39">
        <f>-'Parametre - Agendové IS'!E85</f>
        <v>-4440916.0159362545</v>
      </c>
      <c r="U13" s="39">
        <f t="shared" si="1"/>
        <v>3679616.1274900408</v>
      </c>
      <c r="V13" s="127">
        <f t="shared" si="2"/>
        <v>0</v>
      </c>
      <c r="W13" s="39">
        <f t="shared" si="3"/>
        <v>0</v>
      </c>
      <c r="X13" s="124">
        <f>W13-V13</f>
        <v>0</v>
      </c>
      <c r="Y13" s="43">
        <f t="shared" si="7"/>
        <v>-8120532.1434262954</v>
      </c>
      <c r="Z13" s="39">
        <f t="shared" si="7"/>
        <v>-2705365.0159362545</v>
      </c>
      <c r="AA13" s="124">
        <f t="shared" si="8"/>
        <v>5415167.1274900408</v>
      </c>
    </row>
    <row r="14" spans="1:27">
      <c r="A14" s="761" t="s">
        <v>102</v>
      </c>
      <c r="B14" s="762"/>
      <c r="C14" s="343">
        <f>SUM(C4:C13)</f>
        <v>0</v>
      </c>
      <c r="D14" s="343">
        <f t="shared" ref="D14:U14" si="10">SUM(D4:D13)</f>
        <v>0</v>
      </c>
      <c r="E14" s="344">
        <f t="shared" si="10"/>
        <v>0</v>
      </c>
      <c r="F14" s="343">
        <f>SUM(F4:F13)</f>
        <v>374400</v>
      </c>
      <c r="G14" s="343">
        <f t="shared" ref="G14:I14" si="11">SUM(G4:G13)</f>
        <v>1150113.6000000001</v>
      </c>
      <c r="H14" s="343">
        <f t="shared" si="11"/>
        <v>0</v>
      </c>
      <c r="I14" s="344">
        <f t="shared" si="11"/>
        <v>479700</v>
      </c>
      <c r="J14" s="343">
        <f t="shared" si="10"/>
        <v>0</v>
      </c>
      <c r="K14" s="345">
        <f t="shared" si="10"/>
        <v>0</v>
      </c>
      <c r="L14" s="344">
        <f t="shared" si="10"/>
        <v>0</v>
      </c>
      <c r="M14" s="343">
        <f t="shared" si="10"/>
        <v>0</v>
      </c>
      <c r="N14" s="345">
        <f t="shared" si="10"/>
        <v>0</v>
      </c>
      <c r="O14" s="344">
        <f t="shared" si="10"/>
        <v>0</v>
      </c>
      <c r="P14" s="343">
        <f t="shared" si="10"/>
        <v>0</v>
      </c>
      <c r="Q14" s="343">
        <f t="shared" si="10"/>
        <v>16661289</v>
      </c>
      <c r="R14" s="344">
        <f t="shared" si="10"/>
        <v>16661289</v>
      </c>
      <c r="S14" s="345">
        <f t="shared" si="10"/>
        <v>-77957108.57689245</v>
      </c>
      <c r="T14" s="345">
        <f t="shared" si="10"/>
        <v>-42632793.752988048</v>
      </c>
      <c r="U14" s="346">
        <f t="shared" si="10"/>
        <v>35324314.823904388</v>
      </c>
      <c r="V14" s="347">
        <f t="shared" ref="V14:AA14" si="12">SUM(V4:V13)</f>
        <v>0</v>
      </c>
      <c r="W14" s="345">
        <f t="shared" si="12"/>
        <v>0</v>
      </c>
      <c r="X14" s="348">
        <f t="shared" si="12"/>
        <v>0</v>
      </c>
      <c r="Y14" s="347">
        <f t="shared" si="12"/>
        <v>-77957108.57689245</v>
      </c>
      <c r="Z14" s="345">
        <f t="shared" si="12"/>
        <v>-25971504.752988048</v>
      </c>
      <c r="AA14" s="349">
        <f t="shared" si="12"/>
        <v>51985603.823904395</v>
      </c>
    </row>
    <row r="15" spans="1:27" ht="15.75" thickBot="1">
      <c r="A15" s="763" t="s">
        <v>119</v>
      </c>
      <c r="B15" s="764"/>
      <c r="C15" s="350"/>
      <c r="D15" s="350"/>
      <c r="E15" s="351">
        <f>E4+NPV(Faktory!$D$5,'Prínosy - Agendové IS'!E5:E13)</f>
        <v>0</v>
      </c>
      <c r="F15" s="660">
        <f>F4+NPV(Faktory!$D$5,'Prínosy - Agendové IS'!F5:F13)</f>
        <v>295685.38170679257</v>
      </c>
      <c r="G15" s="661">
        <f>G4+NPV(Faktory!$D$5,'Prínosy - Agendové IS'!G5:G13)</f>
        <v>908311.37505922362</v>
      </c>
      <c r="H15" s="661">
        <f>H4+NPV(Faktory!$D$5,'Prínosy - Agendové IS'!H5:H13)</f>
        <v>0</v>
      </c>
      <c r="I15" s="662">
        <f>I4+NPV(Faktory!$D$5,'Prínosy - Agendové IS'!I5:I13)</f>
        <v>378846.89531182795</v>
      </c>
      <c r="J15" s="352"/>
      <c r="K15" s="353"/>
      <c r="L15" s="351">
        <f>L4+NPV(Faktory!$D$3,'Prínosy - Agendové IS'!L5:L13)</f>
        <v>0</v>
      </c>
      <c r="M15" s="352"/>
      <c r="N15" s="353"/>
      <c r="O15" s="351">
        <f>O4+NPV(Faktory!$D$5,'Prínosy - Agendové IS'!O5:O13)</f>
        <v>0</v>
      </c>
      <c r="P15" s="350"/>
      <c r="Q15" s="350"/>
      <c r="R15" s="351">
        <f>R4+NPV(Faktory!$D$5,'Prínosy - Agendové IS'!R5:R13)</f>
        <v>13377317.016985709</v>
      </c>
      <c r="S15" s="353"/>
      <c r="T15" s="353"/>
      <c r="U15" s="354">
        <f>U4+NPV(Faktory!$D$5,'Prínosy - Agendové IS'!U5:U13)</f>
        <v>28361824.94551716</v>
      </c>
      <c r="V15" s="355"/>
      <c r="W15" s="353"/>
      <c r="X15" s="351">
        <f>X4+NPV(Faktory!$D$5,'Prínosy - Agendové IS'!X5:X13)</f>
        <v>0</v>
      </c>
      <c r="Y15" s="355"/>
      <c r="Z15" s="353"/>
      <c r="AA15" s="351">
        <f>AA4+NPV(Faktory!$D$5,'Prínosy - Agendové IS'!AA5:AA13)</f>
        <v>41739141.962502874</v>
      </c>
    </row>
    <row r="16" spans="1:27" ht="15.75" thickBot="1">
      <c r="AA16" s="351">
        <f>(AA15+SUM(F15:I15))</f>
        <v>43321985.614580721</v>
      </c>
    </row>
    <row r="17" spans="3:3">
      <c r="C17" s="97" t="s">
        <v>128</v>
      </c>
    </row>
    <row r="38" spans="20:20">
      <c r="T38" s="126"/>
    </row>
  </sheetData>
  <protectedRanges>
    <protectedRange algorithmName="SHA-512" hashValue="f4ycvS5NMakRYlpexdvZE7kc5B00PVZgCpNS64jzUJaJceYSE+aleudxwPGxr22CZo/5IZ2uTHVQQMolnN60/A==" saltValue="c0KVc6r/LTYq/uhy9236YA==" spinCount="100000" sqref="J2:L15" name="Rozsah1"/>
  </protectedRanges>
  <mergeCells count="13">
    <mergeCell ref="A14:B14"/>
    <mergeCell ref="A15:B15"/>
    <mergeCell ref="V1:AA1"/>
    <mergeCell ref="C2:E2"/>
    <mergeCell ref="J2:L2"/>
    <mergeCell ref="M2:O2"/>
    <mergeCell ref="P2:R2"/>
    <mergeCell ref="V2:X2"/>
    <mergeCell ref="Y2:AA2"/>
    <mergeCell ref="S2:U2"/>
    <mergeCell ref="J1:U1"/>
    <mergeCell ref="C1:I1"/>
    <mergeCell ref="F2:I2"/>
  </mergeCells>
  <pageMargins left="0.7" right="0.7" top="0.75" bottom="0.75" header="0.3" footer="0.3"/>
  <pageSetup paperSize="9" scale="2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árok8">
    <tabColor theme="8" tint="0.39997558519241921"/>
  </sheetPr>
  <dimension ref="A1:BR135"/>
  <sheetViews>
    <sheetView zoomScale="90" zoomScaleNormal="90" workbookViewId="0">
      <pane xSplit="6" ySplit="4" topLeftCell="G5" activePane="bottomRight" state="frozen"/>
      <selection pane="topRight" activeCell="G1" sqref="G1"/>
      <selection pane="bottomLeft" activeCell="A5" sqref="A5"/>
      <selection pane="bottomRight" activeCell="J17" sqref="J17"/>
    </sheetView>
  </sheetViews>
  <sheetFormatPr defaultColWidth="9.140625" defaultRowHeight="15"/>
  <cols>
    <col min="1" max="1" width="19.140625" style="7" customWidth="1"/>
    <col min="2" max="2" width="9.7109375" style="7" bestFit="1" customWidth="1"/>
    <col min="3" max="3" width="8.7109375" style="7" bestFit="1" customWidth="1"/>
    <col min="4" max="4" width="14.42578125" style="7" bestFit="1" customWidth="1"/>
    <col min="5" max="5" width="15.7109375" style="7" bestFit="1" customWidth="1"/>
    <col min="6" max="6" width="14.42578125" style="7" bestFit="1" customWidth="1"/>
    <col min="7" max="7" width="14.140625" style="7" customWidth="1"/>
    <col min="8" max="8" width="14.140625" style="317" customWidth="1"/>
    <col min="9" max="18" width="14.140625" style="7" customWidth="1"/>
    <col min="19" max="19" width="14.140625" style="318" customWidth="1"/>
    <col min="20" max="20" width="14.140625" style="317" customWidth="1"/>
    <col min="21" max="21" width="14.140625" style="7" customWidth="1"/>
    <col min="22" max="22" width="14.140625" style="318" customWidth="1"/>
    <col min="23" max="23" width="14.140625" style="317" customWidth="1"/>
    <col min="24" max="33" width="14.140625" style="7" customWidth="1"/>
    <col min="34" max="34" width="14.140625" style="318" customWidth="1"/>
    <col min="35" max="35" width="14.140625" style="317" customWidth="1"/>
    <col min="36" max="36" width="14.140625" style="7" customWidth="1"/>
    <col min="37" max="37" width="14.140625" style="318" customWidth="1"/>
    <col min="38" max="38" width="14.140625" style="317" customWidth="1"/>
    <col min="39" max="48" width="14.140625" style="7" customWidth="1"/>
    <col min="49" max="49" width="14.140625" style="318" customWidth="1"/>
    <col min="50" max="50" width="14.140625" style="317" customWidth="1"/>
    <col min="51" max="51" width="14.140625" style="7" customWidth="1"/>
    <col min="52" max="52" width="14.140625" style="318" customWidth="1"/>
    <col min="53" max="53" width="14.140625" style="317" customWidth="1"/>
    <col min="54" max="63" width="14.140625" style="7" customWidth="1"/>
    <col min="64" max="64" width="14.140625" style="318" customWidth="1"/>
    <col min="65" max="65" width="14.140625" style="317" customWidth="1"/>
    <col min="66" max="66" width="14.140625" style="7" customWidth="1"/>
    <col min="67" max="67" width="14.140625" style="318" customWidth="1"/>
    <col min="68" max="68" width="14.140625" style="317" customWidth="1"/>
    <col min="69" max="69" width="14.140625" style="7" customWidth="1"/>
    <col min="70" max="70" width="14.7109375" style="243" customWidth="1"/>
    <col min="71" max="73" width="9.140625" style="7"/>
    <col min="74" max="74" width="12.42578125" style="7" bestFit="1" customWidth="1"/>
    <col min="75" max="309" width="9.140625" style="7"/>
    <col min="310" max="310" width="1.7109375" style="7" customWidth="1"/>
    <col min="311" max="311" width="19.140625" style="7" customWidth="1"/>
    <col min="312" max="312" width="35.140625" style="7" customWidth="1"/>
    <col min="313" max="313" width="9.7109375" style="7" bestFit="1" customWidth="1"/>
    <col min="314" max="314" width="8.7109375" style="7" bestFit="1" customWidth="1"/>
    <col min="315" max="325" width="10.28515625" style="7" customWidth="1"/>
    <col min="326" max="565" width="9.140625" style="7"/>
    <col min="566" max="566" width="1.7109375" style="7" customWidth="1"/>
    <col min="567" max="567" width="19.140625" style="7" customWidth="1"/>
    <col min="568" max="568" width="35.140625" style="7" customWidth="1"/>
    <col min="569" max="569" width="9.7109375" style="7" bestFit="1" customWidth="1"/>
    <col min="570" max="570" width="8.7109375" style="7" bestFit="1" customWidth="1"/>
    <col min="571" max="581" width="10.28515625" style="7" customWidth="1"/>
    <col min="582" max="821" width="9.140625" style="7"/>
    <col min="822" max="822" width="1.7109375" style="7" customWidth="1"/>
    <col min="823" max="823" width="19.140625" style="7" customWidth="1"/>
    <col min="824" max="824" width="35.140625" style="7" customWidth="1"/>
    <col min="825" max="825" width="9.7109375" style="7" bestFit="1" customWidth="1"/>
    <col min="826" max="826" width="8.7109375" style="7" bestFit="1" customWidth="1"/>
    <col min="827" max="837" width="10.28515625" style="7" customWidth="1"/>
    <col min="838" max="1077" width="9.140625" style="7"/>
    <col min="1078" max="1078" width="1.7109375" style="7" customWidth="1"/>
    <col min="1079" max="1079" width="19.140625" style="7" customWidth="1"/>
    <col min="1080" max="1080" width="35.140625" style="7" customWidth="1"/>
    <col min="1081" max="1081" width="9.7109375" style="7" bestFit="1" customWidth="1"/>
    <col min="1082" max="1082" width="8.7109375" style="7" bestFit="1" customWidth="1"/>
    <col min="1083" max="1093" width="10.28515625" style="7" customWidth="1"/>
    <col min="1094" max="1333" width="9.140625" style="7"/>
    <col min="1334" max="1334" width="1.7109375" style="7" customWidth="1"/>
    <col min="1335" max="1335" width="19.140625" style="7" customWidth="1"/>
    <col min="1336" max="1336" width="35.140625" style="7" customWidth="1"/>
    <col min="1337" max="1337" width="9.7109375" style="7" bestFit="1" customWidth="1"/>
    <col min="1338" max="1338" width="8.7109375" style="7" bestFit="1" customWidth="1"/>
    <col min="1339" max="1349" width="10.28515625" style="7" customWidth="1"/>
    <col min="1350" max="1589" width="9.140625" style="7"/>
    <col min="1590" max="1590" width="1.7109375" style="7" customWidth="1"/>
    <col min="1591" max="1591" width="19.140625" style="7" customWidth="1"/>
    <col min="1592" max="1592" width="35.140625" style="7" customWidth="1"/>
    <col min="1593" max="1593" width="9.7109375" style="7" bestFit="1" customWidth="1"/>
    <col min="1594" max="1594" width="8.7109375" style="7" bestFit="1" customWidth="1"/>
    <col min="1595" max="1605" width="10.28515625" style="7" customWidth="1"/>
    <col min="1606" max="1845" width="9.140625" style="7"/>
    <col min="1846" max="1846" width="1.7109375" style="7" customWidth="1"/>
    <col min="1847" max="1847" width="19.140625" style="7" customWidth="1"/>
    <col min="1848" max="1848" width="35.140625" style="7" customWidth="1"/>
    <col min="1849" max="1849" width="9.7109375" style="7" bestFit="1" customWidth="1"/>
    <col min="1850" max="1850" width="8.7109375" style="7" bestFit="1" customWidth="1"/>
    <col min="1851" max="1861" width="10.28515625" style="7" customWidth="1"/>
    <col min="1862" max="2101" width="9.140625" style="7"/>
    <col min="2102" max="2102" width="1.7109375" style="7" customWidth="1"/>
    <col min="2103" max="2103" width="19.140625" style="7" customWidth="1"/>
    <col min="2104" max="2104" width="35.140625" style="7" customWidth="1"/>
    <col min="2105" max="2105" width="9.7109375" style="7" bestFit="1" customWidth="1"/>
    <col min="2106" max="2106" width="8.7109375" style="7" bestFit="1" customWidth="1"/>
    <col min="2107" max="2117" width="10.28515625" style="7" customWidth="1"/>
    <col min="2118" max="2357" width="9.140625" style="7"/>
    <col min="2358" max="2358" width="1.7109375" style="7" customWidth="1"/>
    <col min="2359" max="2359" width="19.140625" style="7" customWidth="1"/>
    <col min="2360" max="2360" width="35.140625" style="7" customWidth="1"/>
    <col min="2361" max="2361" width="9.7109375" style="7" bestFit="1" customWidth="1"/>
    <col min="2362" max="2362" width="8.7109375" style="7" bestFit="1" customWidth="1"/>
    <col min="2363" max="2373" width="10.28515625" style="7" customWidth="1"/>
    <col min="2374" max="2613" width="9.140625" style="7"/>
    <col min="2614" max="2614" width="1.7109375" style="7" customWidth="1"/>
    <col min="2615" max="2615" width="19.140625" style="7" customWidth="1"/>
    <col min="2616" max="2616" width="35.140625" style="7" customWidth="1"/>
    <col min="2617" max="2617" width="9.7109375" style="7" bestFit="1" customWidth="1"/>
    <col min="2618" max="2618" width="8.7109375" style="7" bestFit="1" customWidth="1"/>
    <col min="2619" max="2629" width="10.28515625" style="7" customWidth="1"/>
    <col min="2630" max="2869" width="9.140625" style="7"/>
    <col min="2870" max="2870" width="1.7109375" style="7" customWidth="1"/>
    <col min="2871" max="2871" width="19.140625" style="7" customWidth="1"/>
    <col min="2872" max="2872" width="35.140625" style="7" customWidth="1"/>
    <col min="2873" max="2873" width="9.7109375" style="7" bestFit="1" customWidth="1"/>
    <col min="2874" max="2874" width="8.7109375" style="7" bestFit="1" customWidth="1"/>
    <col min="2875" max="2885" width="10.28515625" style="7" customWidth="1"/>
    <col min="2886" max="3125" width="9.140625" style="7"/>
    <col min="3126" max="3126" width="1.7109375" style="7" customWidth="1"/>
    <col min="3127" max="3127" width="19.140625" style="7" customWidth="1"/>
    <col min="3128" max="3128" width="35.140625" style="7" customWidth="1"/>
    <col min="3129" max="3129" width="9.7109375" style="7" bestFit="1" customWidth="1"/>
    <col min="3130" max="3130" width="8.7109375" style="7" bestFit="1" customWidth="1"/>
    <col min="3131" max="3141" width="10.28515625" style="7" customWidth="1"/>
    <col min="3142" max="3381" width="9.140625" style="7"/>
    <col min="3382" max="3382" width="1.7109375" style="7" customWidth="1"/>
    <col min="3383" max="3383" width="19.140625" style="7" customWidth="1"/>
    <col min="3384" max="3384" width="35.140625" style="7" customWidth="1"/>
    <col min="3385" max="3385" width="9.7109375" style="7" bestFit="1" customWidth="1"/>
    <col min="3386" max="3386" width="8.7109375" style="7" bestFit="1" customWidth="1"/>
    <col min="3387" max="3397" width="10.28515625" style="7" customWidth="1"/>
    <col min="3398" max="3637" width="9.140625" style="7"/>
    <col min="3638" max="3638" width="1.7109375" style="7" customWidth="1"/>
    <col min="3639" max="3639" width="19.140625" style="7" customWidth="1"/>
    <col min="3640" max="3640" width="35.140625" style="7" customWidth="1"/>
    <col min="3641" max="3641" width="9.7109375" style="7" bestFit="1" customWidth="1"/>
    <col min="3642" max="3642" width="8.7109375" style="7" bestFit="1" customWidth="1"/>
    <col min="3643" max="3653" width="10.28515625" style="7" customWidth="1"/>
    <col min="3654" max="3893" width="9.140625" style="7"/>
    <col min="3894" max="3894" width="1.7109375" style="7" customWidth="1"/>
    <col min="3895" max="3895" width="19.140625" style="7" customWidth="1"/>
    <col min="3896" max="3896" width="35.140625" style="7" customWidth="1"/>
    <col min="3897" max="3897" width="9.7109375" style="7" bestFit="1" customWidth="1"/>
    <col min="3898" max="3898" width="8.7109375" style="7" bestFit="1" customWidth="1"/>
    <col min="3899" max="3909" width="10.28515625" style="7" customWidth="1"/>
    <col min="3910" max="4149" width="9.140625" style="7"/>
    <col min="4150" max="4150" width="1.7109375" style="7" customWidth="1"/>
    <col min="4151" max="4151" width="19.140625" style="7" customWidth="1"/>
    <col min="4152" max="4152" width="35.140625" style="7" customWidth="1"/>
    <col min="4153" max="4153" width="9.7109375" style="7" bestFit="1" customWidth="1"/>
    <col min="4154" max="4154" width="8.7109375" style="7" bestFit="1" customWidth="1"/>
    <col min="4155" max="4165" width="10.28515625" style="7" customWidth="1"/>
    <col min="4166" max="4405" width="9.140625" style="7"/>
    <col min="4406" max="4406" width="1.7109375" style="7" customWidth="1"/>
    <col min="4407" max="4407" width="19.140625" style="7" customWidth="1"/>
    <col min="4408" max="4408" width="35.140625" style="7" customWidth="1"/>
    <col min="4409" max="4409" width="9.7109375" style="7" bestFit="1" customWidth="1"/>
    <col min="4410" max="4410" width="8.7109375" style="7" bestFit="1" customWidth="1"/>
    <col min="4411" max="4421" width="10.28515625" style="7" customWidth="1"/>
    <col min="4422" max="4661" width="9.140625" style="7"/>
    <col min="4662" max="4662" width="1.7109375" style="7" customWidth="1"/>
    <col min="4663" max="4663" width="19.140625" style="7" customWidth="1"/>
    <col min="4664" max="4664" width="35.140625" style="7" customWidth="1"/>
    <col min="4665" max="4665" width="9.7109375" style="7" bestFit="1" customWidth="1"/>
    <col min="4666" max="4666" width="8.7109375" style="7" bestFit="1" customWidth="1"/>
    <col min="4667" max="4677" width="10.28515625" style="7" customWidth="1"/>
    <col min="4678" max="4917" width="9.140625" style="7"/>
    <col min="4918" max="4918" width="1.7109375" style="7" customWidth="1"/>
    <col min="4919" max="4919" width="19.140625" style="7" customWidth="1"/>
    <col min="4920" max="4920" width="35.140625" style="7" customWidth="1"/>
    <col min="4921" max="4921" width="9.7109375" style="7" bestFit="1" customWidth="1"/>
    <col min="4922" max="4922" width="8.7109375" style="7" bestFit="1" customWidth="1"/>
    <col min="4923" max="4933" width="10.28515625" style="7" customWidth="1"/>
    <col min="4934" max="5173" width="9.140625" style="7"/>
    <col min="5174" max="5174" width="1.7109375" style="7" customWidth="1"/>
    <col min="5175" max="5175" width="19.140625" style="7" customWidth="1"/>
    <col min="5176" max="5176" width="35.140625" style="7" customWidth="1"/>
    <col min="5177" max="5177" width="9.7109375" style="7" bestFit="1" customWidth="1"/>
    <col min="5178" max="5178" width="8.7109375" style="7" bestFit="1" customWidth="1"/>
    <col min="5179" max="5189" width="10.28515625" style="7" customWidth="1"/>
    <col min="5190" max="5429" width="9.140625" style="7"/>
    <col min="5430" max="5430" width="1.7109375" style="7" customWidth="1"/>
    <col min="5431" max="5431" width="19.140625" style="7" customWidth="1"/>
    <col min="5432" max="5432" width="35.140625" style="7" customWidth="1"/>
    <col min="5433" max="5433" width="9.7109375" style="7" bestFit="1" customWidth="1"/>
    <col min="5434" max="5434" width="8.7109375" style="7" bestFit="1" customWidth="1"/>
    <col min="5435" max="5445" width="10.28515625" style="7" customWidth="1"/>
    <col min="5446" max="5685" width="9.140625" style="7"/>
    <col min="5686" max="5686" width="1.7109375" style="7" customWidth="1"/>
    <col min="5687" max="5687" width="19.140625" style="7" customWidth="1"/>
    <col min="5688" max="5688" width="35.140625" style="7" customWidth="1"/>
    <col min="5689" max="5689" width="9.7109375" style="7" bestFit="1" customWidth="1"/>
    <col min="5690" max="5690" width="8.7109375" style="7" bestFit="1" customWidth="1"/>
    <col min="5691" max="5701" width="10.28515625" style="7" customWidth="1"/>
    <col min="5702" max="5941" width="9.140625" style="7"/>
    <col min="5942" max="5942" width="1.7109375" style="7" customWidth="1"/>
    <col min="5943" max="5943" width="19.140625" style="7" customWidth="1"/>
    <col min="5944" max="5944" width="35.140625" style="7" customWidth="1"/>
    <col min="5945" max="5945" width="9.7109375" style="7" bestFit="1" customWidth="1"/>
    <col min="5946" max="5946" width="8.7109375" style="7" bestFit="1" customWidth="1"/>
    <col min="5947" max="5957" width="10.28515625" style="7" customWidth="1"/>
    <col min="5958" max="6197" width="9.140625" style="7"/>
    <col min="6198" max="6198" width="1.7109375" style="7" customWidth="1"/>
    <col min="6199" max="6199" width="19.140625" style="7" customWidth="1"/>
    <col min="6200" max="6200" width="35.140625" style="7" customWidth="1"/>
    <col min="6201" max="6201" width="9.7109375" style="7" bestFit="1" customWidth="1"/>
    <col min="6202" max="6202" width="8.7109375" style="7" bestFit="1" customWidth="1"/>
    <col min="6203" max="6213" width="10.28515625" style="7" customWidth="1"/>
    <col min="6214" max="6453" width="9.140625" style="7"/>
    <col min="6454" max="6454" width="1.7109375" style="7" customWidth="1"/>
    <col min="6455" max="6455" width="19.140625" style="7" customWidth="1"/>
    <col min="6456" max="6456" width="35.140625" style="7" customWidth="1"/>
    <col min="6457" max="6457" width="9.7109375" style="7" bestFit="1" customWidth="1"/>
    <col min="6458" max="6458" width="8.7109375" style="7" bestFit="1" customWidth="1"/>
    <col min="6459" max="6469" width="10.28515625" style="7" customWidth="1"/>
    <col min="6470" max="6709" width="9.140625" style="7"/>
    <col min="6710" max="6710" width="1.7109375" style="7" customWidth="1"/>
    <col min="6711" max="6711" width="19.140625" style="7" customWidth="1"/>
    <col min="6712" max="6712" width="35.140625" style="7" customWidth="1"/>
    <col min="6713" max="6713" width="9.7109375" style="7" bestFit="1" customWidth="1"/>
    <col min="6714" max="6714" width="8.7109375" style="7" bestFit="1" customWidth="1"/>
    <col min="6715" max="6725" width="10.28515625" style="7" customWidth="1"/>
    <col min="6726" max="6965" width="9.140625" style="7"/>
    <col min="6966" max="6966" width="1.7109375" style="7" customWidth="1"/>
    <col min="6967" max="6967" width="19.140625" style="7" customWidth="1"/>
    <col min="6968" max="6968" width="35.140625" style="7" customWidth="1"/>
    <col min="6969" max="6969" width="9.7109375" style="7" bestFit="1" customWidth="1"/>
    <col min="6970" max="6970" width="8.7109375" style="7" bestFit="1" customWidth="1"/>
    <col min="6971" max="6981" width="10.28515625" style="7" customWidth="1"/>
    <col min="6982" max="7221" width="9.140625" style="7"/>
    <col min="7222" max="7222" width="1.7109375" style="7" customWidth="1"/>
    <col min="7223" max="7223" width="19.140625" style="7" customWidth="1"/>
    <col min="7224" max="7224" width="35.140625" style="7" customWidth="1"/>
    <col min="7225" max="7225" width="9.7109375" style="7" bestFit="1" customWidth="1"/>
    <col min="7226" max="7226" width="8.7109375" style="7" bestFit="1" customWidth="1"/>
    <col min="7227" max="7237" width="10.28515625" style="7" customWidth="1"/>
    <col min="7238" max="7477" width="9.140625" style="7"/>
    <col min="7478" max="7478" width="1.7109375" style="7" customWidth="1"/>
    <col min="7479" max="7479" width="19.140625" style="7" customWidth="1"/>
    <col min="7480" max="7480" width="35.140625" style="7" customWidth="1"/>
    <col min="7481" max="7481" width="9.7109375" style="7" bestFit="1" customWidth="1"/>
    <col min="7482" max="7482" width="8.7109375" style="7" bestFit="1" customWidth="1"/>
    <col min="7483" max="7493" width="10.28515625" style="7" customWidth="1"/>
    <col min="7494" max="7733" width="9.140625" style="7"/>
    <col min="7734" max="7734" width="1.7109375" style="7" customWidth="1"/>
    <col min="7735" max="7735" width="19.140625" style="7" customWidth="1"/>
    <col min="7736" max="7736" width="35.140625" style="7" customWidth="1"/>
    <col min="7737" max="7737" width="9.7109375" style="7" bestFit="1" customWidth="1"/>
    <col min="7738" max="7738" width="8.7109375" style="7" bestFit="1" customWidth="1"/>
    <col min="7739" max="7749" width="10.28515625" style="7" customWidth="1"/>
    <col min="7750" max="7989" width="9.140625" style="7"/>
    <col min="7990" max="7990" width="1.7109375" style="7" customWidth="1"/>
    <col min="7991" max="7991" width="19.140625" style="7" customWidth="1"/>
    <col min="7992" max="7992" width="35.140625" style="7" customWidth="1"/>
    <col min="7993" max="7993" width="9.7109375" style="7" bestFit="1" customWidth="1"/>
    <col min="7994" max="7994" width="8.7109375" style="7" bestFit="1" customWidth="1"/>
    <col min="7995" max="8005" width="10.28515625" style="7" customWidth="1"/>
    <col min="8006" max="8245" width="9.140625" style="7"/>
    <col min="8246" max="8246" width="1.7109375" style="7" customWidth="1"/>
    <col min="8247" max="8247" width="19.140625" style="7" customWidth="1"/>
    <col min="8248" max="8248" width="35.140625" style="7" customWidth="1"/>
    <col min="8249" max="8249" width="9.7109375" style="7" bestFit="1" customWidth="1"/>
    <col min="8250" max="8250" width="8.7109375" style="7" bestFit="1" customWidth="1"/>
    <col min="8251" max="8261" width="10.28515625" style="7" customWidth="1"/>
    <col min="8262" max="8501" width="9.140625" style="7"/>
    <col min="8502" max="8502" width="1.7109375" style="7" customWidth="1"/>
    <col min="8503" max="8503" width="19.140625" style="7" customWidth="1"/>
    <col min="8504" max="8504" width="35.140625" style="7" customWidth="1"/>
    <col min="8505" max="8505" width="9.7109375" style="7" bestFit="1" customWidth="1"/>
    <col min="8506" max="8506" width="8.7109375" style="7" bestFit="1" customWidth="1"/>
    <col min="8507" max="8517" width="10.28515625" style="7" customWidth="1"/>
    <col min="8518" max="8757" width="9.140625" style="7"/>
    <col min="8758" max="8758" width="1.7109375" style="7" customWidth="1"/>
    <col min="8759" max="8759" width="19.140625" style="7" customWidth="1"/>
    <col min="8760" max="8760" width="35.140625" style="7" customWidth="1"/>
    <col min="8761" max="8761" width="9.7109375" style="7" bestFit="1" customWidth="1"/>
    <col min="8762" max="8762" width="8.7109375" style="7" bestFit="1" customWidth="1"/>
    <col min="8763" max="8773" width="10.28515625" style="7" customWidth="1"/>
    <col min="8774" max="9013" width="9.140625" style="7"/>
    <col min="9014" max="9014" width="1.7109375" style="7" customWidth="1"/>
    <col min="9015" max="9015" width="19.140625" style="7" customWidth="1"/>
    <col min="9016" max="9016" width="35.140625" style="7" customWidth="1"/>
    <col min="9017" max="9017" width="9.7109375" style="7" bestFit="1" customWidth="1"/>
    <col min="9018" max="9018" width="8.7109375" style="7" bestFit="1" customWidth="1"/>
    <col min="9019" max="9029" width="10.28515625" style="7" customWidth="1"/>
    <col min="9030" max="9269" width="9.140625" style="7"/>
    <col min="9270" max="9270" width="1.7109375" style="7" customWidth="1"/>
    <col min="9271" max="9271" width="19.140625" style="7" customWidth="1"/>
    <col min="9272" max="9272" width="35.140625" style="7" customWidth="1"/>
    <col min="9273" max="9273" width="9.7109375" style="7" bestFit="1" customWidth="1"/>
    <col min="9274" max="9274" width="8.7109375" style="7" bestFit="1" customWidth="1"/>
    <col min="9275" max="9285" width="10.28515625" style="7" customWidth="1"/>
    <col min="9286" max="9525" width="9.140625" style="7"/>
    <col min="9526" max="9526" width="1.7109375" style="7" customWidth="1"/>
    <col min="9527" max="9527" width="19.140625" style="7" customWidth="1"/>
    <col min="9528" max="9528" width="35.140625" style="7" customWidth="1"/>
    <col min="9529" max="9529" width="9.7109375" style="7" bestFit="1" customWidth="1"/>
    <col min="9530" max="9530" width="8.7109375" style="7" bestFit="1" customWidth="1"/>
    <col min="9531" max="9541" width="10.28515625" style="7" customWidth="1"/>
    <col min="9542" max="9781" width="9.140625" style="7"/>
    <col min="9782" max="9782" width="1.7109375" style="7" customWidth="1"/>
    <col min="9783" max="9783" width="19.140625" style="7" customWidth="1"/>
    <col min="9784" max="9784" width="35.140625" style="7" customWidth="1"/>
    <col min="9785" max="9785" width="9.7109375" style="7" bestFit="1" customWidth="1"/>
    <col min="9786" max="9786" width="8.7109375" style="7" bestFit="1" customWidth="1"/>
    <col min="9787" max="9797" width="10.28515625" style="7" customWidth="1"/>
    <col min="9798" max="10037" width="9.140625" style="7"/>
    <col min="10038" max="10038" width="1.7109375" style="7" customWidth="1"/>
    <col min="10039" max="10039" width="19.140625" style="7" customWidth="1"/>
    <col min="10040" max="10040" width="35.140625" style="7" customWidth="1"/>
    <col min="10041" max="10041" width="9.7109375" style="7" bestFit="1" customWidth="1"/>
    <col min="10042" max="10042" width="8.7109375" style="7" bestFit="1" customWidth="1"/>
    <col min="10043" max="10053" width="10.28515625" style="7" customWidth="1"/>
    <col min="10054" max="10293" width="9.140625" style="7"/>
    <col min="10294" max="10294" width="1.7109375" style="7" customWidth="1"/>
    <col min="10295" max="10295" width="19.140625" style="7" customWidth="1"/>
    <col min="10296" max="10296" width="35.140625" style="7" customWidth="1"/>
    <col min="10297" max="10297" width="9.7109375" style="7" bestFit="1" customWidth="1"/>
    <col min="10298" max="10298" width="8.7109375" style="7" bestFit="1" customWidth="1"/>
    <col min="10299" max="10309" width="10.28515625" style="7" customWidth="1"/>
    <col min="10310" max="10549" width="9.140625" style="7"/>
    <col min="10550" max="10550" width="1.7109375" style="7" customWidth="1"/>
    <col min="10551" max="10551" width="19.140625" style="7" customWidth="1"/>
    <col min="10552" max="10552" width="35.140625" style="7" customWidth="1"/>
    <col min="10553" max="10553" width="9.7109375" style="7" bestFit="1" customWidth="1"/>
    <col min="10554" max="10554" width="8.7109375" style="7" bestFit="1" customWidth="1"/>
    <col min="10555" max="10565" width="10.28515625" style="7" customWidth="1"/>
    <col min="10566" max="10805" width="9.140625" style="7"/>
    <col min="10806" max="10806" width="1.7109375" style="7" customWidth="1"/>
    <col min="10807" max="10807" width="19.140625" style="7" customWidth="1"/>
    <col min="10808" max="10808" width="35.140625" style="7" customWidth="1"/>
    <col min="10809" max="10809" width="9.7109375" style="7" bestFit="1" customWidth="1"/>
    <col min="10810" max="10810" width="8.7109375" style="7" bestFit="1" customWidth="1"/>
    <col min="10811" max="10821" width="10.28515625" style="7" customWidth="1"/>
    <col min="10822" max="11061" width="9.140625" style="7"/>
    <col min="11062" max="11062" width="1.7109375" style="7" customWidth="1"/>
    <col min="11063" max="11063" width="19.140625" style="7" customWidth="1"/>
    <col min="11064" max="11064" width="35.140625" style="7" customWidth="1"/>
    <col min="11065" max="11065" width="9.7109375" style="7" bestFit="1" customWidth="1"/>
    <col min="11066" max="11066" width="8.7109375" style="7" bestFit="1" customWidth="1"/>
    <col min="11067" max="11077" width="10.28515625" style="7" customWidth="1"/>
    <col min="11078" max="11317" width="9.140625" style="7"/>
    <col min="11318" max="11318" width="1.7109375" style="7" customWidth="1"/>
    <col min="11319" max="11319" width="19.140625" style="7" customWidth="1"/>
    <col min="11320" max="11320" width="35.140625" style="7" customWidth="1"/>
    <col min="11321" max="11321" width="9.7109375" style="7" bestFit="1" customWidth="1"/>
    <col min="11322" max="11322" width="8.7109375" style="7" bestFit="1" customWidth="1"/>
    <col min="11323" max="11333" width="10.28515625" style="7" customWidth="1"/>
    <col min="11334" max="11573" width="9.140625" style="7"/>
    <col min="11574" max="11574" width="1.7109375" style="7" customWidth="1"/>
    <col min="11575" max="11575" width="19.140625" style="7" customWidth="1"/>
    <col min="11576" max="11576" width="35.140625" style="7" customWidth="1"/>
    <col min="11577" max="11577" width="9.7109375" style="7" bestFit="1" customWidth="1"/>
    <col min="11578" max="11578" width="8.7109375" style="7" bestFit="1" customWidth="1"/>
    <col min="11579" max="11589" width="10.28515625" style="7" customWidth="1"/>
    <col min="11590" max="11829" width="9.140625" style="7"/>
    <col min="11830" max="11830" width="1.7109375" style="7" customWidth="1"/>
    <col min="11831" max="11831" width="19.140625" style="7" customWidth="1"/>
    <col min="11832" max="11832" width="35.140625" style="7" customWidth="1"/>
    <col min="11833" max="11833" width="9.7109375" style="7" bestFit="1" customWidth="1"/>
    <col min="11834" max="11834" width="8.7109375" style="7" bestFit="1" customWidth="1"/>
    <col min="11835" max="11845" width="10.28515625" style="7" customWidth="1"/>
    <col min="11846" max="12085" width="9.140625" style="7"/>
    <col min="12086" max="12086" width="1.7109375" style="7" customWidth="1"/>
    <col min="12087" max="12087" width="19.140625" style="7" customWidth="1"/>
    <col min="12088" max="12088" width="35.140625" style="7" customWidth="1"/>
    <col min="12089" max="12089" width="9.7109375" style="7" bestFit="1" customWidth="1"/>
    <col min="12090" max="12090" width="8.7109375" style="7" bestFit="1" customWidth="1"/>
    <col min="12091" max="12101" width="10.28515625" style="7" customWidth="1"/>
    <col min="12102" max="12341" width="9.140625" style="7"/>
    <col min="12342" max="12342" width="1.7109375" style="7" customWidth="1"/>
    <col min="12343" max="12343" width="19.140625" style="7" customWidth="1"/>
    <col min="12344" max="12344" width="35.140625" style="7" customWidth="1"/>
    <col min="12345" max="12345" width="9.7109375" style="7" bestFit="1" customWidth="1"/>
    <col min="12346" max="12346" width="8.7109375" style="7" bestFit="1" customWidth="1"/>
    <col min="12347" max="12357" width="10.28515625" style="7" customWidth="1"/>
    <col min="12358" max="12597" width="9.140625" style="7"/>
    <col min="12598" max="12598" width="1.7109375" style="7" customWidth="1"/>
    <col min="12599" max="12599" width="19.140625" style="7" customWidth="1"/>
    <col min="12600" max="12600" width="35.140625" style="7" customWidth="1"/>
    <col min="12601" max="12601" width="9.7109375" style="7" bestFit="1" customWidth="1"/>
    <col min="12602" max="12602" width="8.7109375" style="7" bestFit="1" customWidth="1"/>
    <col min="12603" max="12613" width="10.28515625" style="7" customWidth="1"/>
    <col min="12614" max="12853" width="9.140625" style="7"/>
    <col min="12854" max="12854" width="1.7109375" style="7" customWidth="1"/>
    <col min="12855" max="12855" width="19.140625" style="7" customWidth="1"/>
    <col min="12856" max="12856" width="35.140625" style="7" customWidth="1"/>
    <col min="12857" max="12857" width="9.7109375" style="7" bestFit="1" customWidth="1"/>
    <col min="12858" max="12858" width="8.7109375" style="7" bestFit="1" customWidth="1"/>
    <col min="12859" max="12869" width="10.28515625" style="7" customWidth="1"/>
    <col min="12870" max="13109" width="9.140625" style="7"/>
    <col min="13110" max="13110" width="1.7109375" style="7" customWidth="1"/>
    <col min="13111" max="13111" width="19.140625" style="7" customWidth="1"/>
    <col min="13112" max="13112" width="35.140625" style="7" customWidth="1"/>
    <col min="13113" max="13113" width="9.7109375" style="7" bestFit="1" customWidth="1"/>
    <col min="13114" max="13114" width="8.7109375" style="7" bestFit="1" customWidth="1"/>
    <col min="13115" max="13125" width="10.28515625" style="7" customWidth="1"/>
    <col min="13126" max="13365" width="9.140625" style="7"/>
    <col min="13366" max="13366" width="1.7109375" style="7" customWidth="1"/>
    <col min="13367" max="13367" width="19.140625" style="7" customWidth="1"/>
    <col min="13368" max="13368" width="35.140625" style="7" customWidth="1"/>
    <col min="13369" max="13369" width="9.7109375" style="7" bestFit="1" customWidth="1"/>
    <col min="13370" max="13370" width="8.7109375" style="7" bestFit="1" customWidth="1"/>
    <col min="13371" max="13381" width="10.28515625" style="7" customWidth="1"/>
    <col min="13382" max="13621" width="9.140625" style="7"/>
    <col min="13622" max="13622" width="1.7109375" style="7" customWidth="1"/>
    <col min="13623" max="13623" width="19.140625" style="7" customWidth="1"/>
    <col min="13624" max="13624" width="35.140625" style="7" customWidth="1"/>
    <col min="13625" max="13625" width="9.7109375" style="7" bestFit="1" customWidth="1"/>
    <col min="13626" max="13626" width="8.7109375" style="7" bestFit="1" customWidth="1"/>
    <col min="13627" max="13637" width="10.28515625" style="7" customWidth="1"/>
    <col min="13638" max="13877" width="9.140625" style="7"/>
    <col min="13878" max="13878" width="1.7109375" style="7" customWidth="1"/>
    <col min="13879" max="13879" width="19.140625" style="7" customWidth="1"/>
    <col min="13880" max="13880" width="35.140625" style="7" customWidth="1"/>
    <col min="13881" max="13881" width="9.7109375" style="7" bestFit="1" customWidth="1"/>
    <col min="13882" max="13882" width="8.7109375" style="7" bestFit="1" customWidth="1"/>
    <col min="13883" max="13893" width="10.28515625" style="7" customWidth="1"/>
    <col min="13894" max="14133" width="9.140625" style="7"/>
    <col min="14134" max="14134" width="1.7109375" style="7" customWidth="1"/>
    <col min="14135" max="14135" width="19.140625" style="7" customWidth="1"/>
    <col min="14136" max="14136" width="35.140625" style="7" customWidth="1"/>
    <col min="14137" max="14137" width="9.7109375" style="7" bestFit="1" customWidth="1"/>
    <col min="14138" max="14138" width="8.7109375" style="7" bestFit="1" customWidth="1"/>
    <col min="14139" max="14149" width="10.28515625" style="7" customWidth="1"/>
    <col min="14150" max="14389" width="9.140625" style="7"/>
    <col min="14390" max="14390" width="1.7109375" style="7" customWidth="1"/>
    <col min="14391" max="14391" width="19.140625" style="7" customWidth="1"/>
    <col min="14392" max="14392" width="35.140625" style="7" customWidth="1"/>
    <col min="14393" max="14393" width="9.7109375" style="7" bestFit="1" customWidth="1"/>
    <col min="14394" max="14394" width="8.7109375" style="7" bestFit="1" customWidth="1"/>
    <col min="14395" max="14405" width="10.28515625" style="7" customWidth="1"/>
    <col min="14406" max="14645" width="9.140625" style="7"/>
    <col min="14646" max="14646" width="1.7109375" style="7" customWidth="1"/>
    <col min="14647" max="14647" width="19.140625" style="7" customWidth="1"/>
    <col min="14648" max="14648" width="35.140625" style="7" customWidth="1"/>
    <col min="14649" max="14649" width="9.7109375" style="7" bestFit="1" customWidth="1"/>
    <col min="14650" max="14650" width="8.7109375" style="7" bestFit="1" customWidth="1"/>
    <col min="14651" max="14661" width="10.28515625" style="7" customWidth="1"/>
    <col min="14662" max="14901" width="9.140625" style="7"/>
    <col min="14902" max="14902" width="1.7109375" style="7" customWidth="1"/>
    <col min="14903" max="14903" width="19.140625" style="7" customWidth="1"/>
    <col min="14904" max="14904" width="35.140625" style="7" customWidth="1"/>
    <col min="14905" max="14905" width="9.7109375" style="7" bestFit="1" customWidth="1"/>
    <col min="14906" max="14906" width="8.7109375" style="7" bestFit="1" customWidth="1"/>
    <col min="14907" max="14917" width="10.28515625" style="7" customWidth="1"/>
    <col min="14918" max="15157" width="9.140625" style="7"/>
    <col min="15158" max="15158" width="1.7109375" style="7" customWidth="1"/>
    <col min="15159" max="15159" width="19.140625" style="7" customWidth="1"/>
    <col min="15160" max="15160" width="35.140625" style="7" customWidth="1"/>
    <col min="15161" max="15161" width="9.7109375" style="7" bestFit="1" customWidth="1"/>
    <col min="15162" max="15162" width="8.7109375" style="7" bestFit="1" customWidth="1"/>
    <col min="15163" max="15173" width="10.28515625" style="7" customWidth="1"/>
    <col min="15174" max="15413" width="9.140625" style="7"/>
    <col min="15414" max="15414" width="1.7109375" style="7" customWidth="1"/>
    <col min="15415" max="15415" width="19.140625" style="7" customWidth="1"/>
    <col min="15416" max="15416" width="35.140625" style="7" customWidth="1"/>
    <col min="15417" max="15417" width="9.7109375" style="7" bestFit="1" customWidth="1"/>
    <col min="15418" max="15418" width="8.7109375" style="7" bestFit="1" customWidth="1"/>
    <col min="15419" max="15429" width="10.28515625" style="7" customWidth="1"/>
    <col min="15430" max="15669" width="9.140625" style="7"/>
    <col min="15670" max="15670" width="1.7109375" style="7" customWidth="1"/>
    <col min="15671" max="15671" width="19.140625" style="7" customWidth="1"/>
    <col min="15672" max="15672" width="35.140625" style="7" customWidth="1"/>
    <col min="15673" max="15673" width="9.7109375" style="7" bestFit="1" customWidth="1"/>
    <col min="15674" max="15674" width="8.7109375" style="7" bestFit="1" customWidth="1"/>
    <col min="15675" max="15685" width="10.28515625" style="7" customWidth="1"/>
    <col min="15686" max="15925" width="9.140625" style="7"/>
    <col min="15926" max="15926" width="1.7109375" style="7" customWidth="1"/>
    <col min="15927" max="15927" width="19.140625" style="7" customWidth="1"/>
    <col min="15928" max="15928" width="35.140625" style="7" customWidth="1"/>
    <col min="15929" max="15929" width="9.7109375" style="7" bestFit="1" customWidth="1"/>
    <col min="15930" max="15930" width="8.7109375" style="7" bestFit="1" customWidth="1"/>
    <col min="15931" max="15941" width="10.28515625" style="7" customWidth="1"/>
    <col min="15942" max="16181" width="9.140625" style="7"/>
    <col min="16182" max="16182" width="1.7109375" style="7" customWidth="1"/>
    <col min="16183" max="16183" width="19.140625" style="7" customWidth="1"/>
    <col min="16184" max="16184" width="35.140625" style="7" customWidth="1"/>
    <col min="16185" max="16185" width="9.7109375" style="7" bestFit="1" customWidth="1"/>
    <col min="16186" max="16186" width="8.7109375" style="7" bestFit="1" customWidth="1"/>
    <col min="16187" max="16197" width="10.28515625" style="7" customWidth="1"/>
    <col min="16198" max="16384" width="9.140625" style="7"/>
  </cols>
  <sheetData>
    <row r="1" spans="1:70" ht="27" thickBot="1">
      <c r="A1" s="779"/>
      <c r="B1" s="779"/>
      <c r="C1" s="779"/>
      <c r="D1" s="779"/>
      <c r="E1" s="779"/>
      <c r="F1" s="779"/>
      <c r="G1" s="783" t="s">
        <v>745</v>
      </c>
      <c r="H1" s="784"/>
      <c r="I1" s="784"/>
      <c r="J1" s="785"/>
      <c r="K1" s="785"/>
      <c r="L1" s="785"/>
      <c r="M1" s="785"/>
      <c r="N1" s="785"/>
      <c r="O1" s="785"/>
      <c r="P1" s="785"/>
      <c r="Q1" s="785"/>
      <c r="R1" s="785"/>
      <c r="S1" s="785"/>
      <c r="T1" s="785"/>
      <c r="U1" s="785"/>
      <c r="V1" s="785"/>
      <c r="W1" s="785"/>
      <c r="X1" s="785"/>
      <c r="Y1" s="785"/>
      <c r="Z1" s="785"/>
      <c r="AA1" s="785"/>
      <c r="AB1" s="785"/>
      <c r="AC1" s="785"/>
      <c r="AD1" s="785"/>
      <c r="AE1" s="785"/>
      <c r="AF1" s="785"/>
      <c r="AG1" s="785"/>
      <c r="AH1" s="785"/>
      <c r="AI1" s="785"/>
      <c r="AJ1" s="785"/>
      <c r="AK1" s="785"/>
      <c r="AL1" s="785"/>
      <c r="AM1" s="785"/>
      <c r="AN1" s="785"/>
      <c r="AO1" s="785"/>
      <c r="AP1" s="785"/>
      <c r="AQ1" s="785"/>
      <c r="AR1" s="785"/>
      <c r="AS1" s="785"/>
      <c r="AT1" s="785"/>
      <c r="AU1" s="785"/>
      <c r="AV1" s="785"/>
      <c r="AW1" s="785"/>
      <c r="AX1" s="785"/>
      <c r="AY1" s="785"/>
      <c r="AZ1" s="785"/>
      <c r="BA1" s="785"/>
      <c r="BB1" s="785"/>
      <c r="BC1" s="785"/>
      <c r="BD1" s="785"/>
      <c r="BE1" s="785"/>
      <c r="BF1" s="785"/>
      <c r="BG1" s="785"/>
      <c r="BH1" s="785"/>
      <c r="BI1" s="785"/>
      <c r="BJ1" s="785"/>
      <c r="BK1" s="785"/>
      <c r="BL1" s="785"/>
      <c r="BM1" s="785"/>
      <c r="BN1" s="785"/>
      <c r="BO1" s="785"/>
      <c r="BP1" s="785"/>
      <c r="BQ1" s="786"/>
    </row>
    <row r="2" spans="1:70" ht="36" customHeight="1" thickBot="1">
      <c r="A2" s="242"/>
      <c r="B2" s="242"/>
      <c r="C2" s="242"/>
      <c r="D2" s="791" t="s">
        <v>102</v>
      </c>
      <c r="E2" s="792"/>
      <c r="F2" s="793"/>
      <c r="G2" s="773" t="str">
        <f>'TCO TO BE- SW'!$F$2</f>
        <v>Centrálny informačný systém na riadenie IT aktív</v>
      </c>
      <c r="H2" s="774"/>
      <c r="I2" s="775"/>
      <c r="J2" s="773" t="str">
        <f>'TCO TO BE- SW'!$F$2</f>
        <v>Centrálny informačný systém na riadenie IT aktív</v>
      </c>
      <c r="K2" s="774"/>
      <c r="L2" s="775"/>
      <c r="M2" s="773" t="str">
        <f>'TCO TO BE- SW'!$F$2</f>
        <v>Centrálny informačný systém na riadenie IT aktív</v>
      </c>
      <c r="N2" s="774"/>
      <c r="O2" s="775"/>
      <c r="P2" s="773"/>
      <c r="Q2" s="774"/>
      <c r="R2" s="775"/>
      <c r="S2" s="773">
        <f>'TCO TO BE- SW'!J2</f>
        <v>0</v>
      </c>
      <c r="T2" s="774"/>
      <c r="U2" s="775"/>
      <c r="V2" s="773">
        <f>'TCO TO BE- SW'!K2</f>
        <v>0</v>
      </c>
      <c r="W2" s="774"/>
      <c r="X2" s="775"/>
      <c r="Y2" s="773">
        <f>'TCO TO BE- SW'!L2</f>
        <v>0</v>
      </c>
      <c r="Z2" s="774"/>
      <c r="AA2" s="775"/>
      <c r="AB2" s="773">
        <f>'TCO TO BE- SW'!M2</f>
        <v>0</v>
      </c>
      <c r="AC2" s="774"/>
      <c r="AD2" s="775"/>
      <c r="AE2" s="773">
        <f>'TCO TO BE- SW'!N2</f>
        <v>0</v>
      </c>
      <c r="AF2" s="774"/>
      <c r="AG2" s="775"/>
      <c r="AH2" s="773">
        <f>'TCO TO BE- SW'!O2</f>
        <v>0</v>
      </c>
      <c r="AI2" s="774"/>
      <c r="AJ2" s="775"/>
      <c r="AK2" s="773">
        <f>'TCO TO BE- SW'!P2</f>
        <v>0</v>
      </c>
      <c r="AL2" s="774"/>
      <c r="AM2" s="775"/>
      <c r="AN2" s="773">
        <f>'TCO TO BE- SW'!Q2</f>
        <v>0</v>
      </c>
      <c r="AO2" s="774"/>
      <c r="AP2" s="775"/>
      <c r="AQ2" s="773">
        <f>'TCO TO BE- SW'!R2</f>
        <v>0</v>
      </c>
      <c r="AR2" s="774"/>
      <c r="AS2" s="775"/>
      <c r="AT2" s="773">
        <f>'TCO TO BE- SW'!S2</f>
        <v>0</v>
      </c>
      <c r="AU2" s="774"/>
      <c r="AV2" s="775"/>
      <c r="AW2" s="773">
        <f>'TCO TO BE- SW'!T2</f>
        <v>0</v>
      </c>
      <c r="AX2" s="774"/>
      <c r="AY2" s="775"/>
      <c r="AZ2" s="773">
        <f>'TCO TO BE- SW'!U2</f>
        <v>0</v>
      </c>
      <c r="BA2" s="774"/>
      <c r="BB2" s="775"/>
      <c r="BC2" s="773">
        <f>'TCO TO BE- SW'!V2</f>
        <v>0</v>
      </c>
      <c r="BD2" s="774"/>
      <c r="BE2" s="775"/>
      <c r="BF2" s="773">
        <f>'TCO TO BE- SW'!W2</f>
        <v>0</v>
      </c>
      <c r="BG2" s="774"/>
      <c r="BH2" s="775"/>
      <c r="BI2" s="773">
        <f>'TCO TO BE- SW'!X2</f>
        <v>0</v>
      </c>
      <c r="BJ2" s="774"/>
      <c r="BK2" s="775"/>
      <c r="BL2" s="773">
        <f>'TCO TO BE- SW'!Y2</f>
        <v>0</v>
      </c>
      <c r="BM2" s="774"/>
      <c r="BN2" s="775"/>
      <c r="BO2" s="773">
        <f>'TCO TO BE- SW'!Z2</f>
        <v>0</v>
      </c>
      <c r="BP2" s="774"/>
      <c r="BQ2" s="775"/>
    </row>
    <row r="3" spans="1:70" ht="36" customHeight="1" thickBot="1">
      <c r="A3" s="242" t="s">
        <v>251</v>
      </c>
      <c r="B3" s="242"/>
      <c r="C3" s="242"/>
      <c r="D3" s="363"/>
      <c r="E3" s="361"/>
      <c r="F3" s="362"/>
      <c r="G3" s="773" t="s">
        <v>786</v>
      </c>
      <c r="H3" s="774"/>
      <c r="I3" s="775"/>
      <c r="J3" s="773" t="s">
        <v>787</v>
      </c>
      <c r="K3" s="774"/>
      <c r="L3" s="775"/>
      <c r="M3" s="773" t="s">
        <v>788</v>
      </c>
      <c r="N3" s="774"/>
      <c r="O3" s="775"/>
      <c r="P3" s="770"/>
      <c r="Q3" s="771"/>
      <c r="R3" s="772"/>
      <c r="S3" s="770"/>
      <c r="T3" s="771"/>
      <c r="U3" s="772"/>
      <c r="V3" s="770"/>
      <c r="W3" s="771"/>
      <c r="X3" s="772"/>
      <c r="Y3" s="770"/>
      <c r="Z3" s="771"/>
      <c r="AA3" s="772"/>
      <c r="AB3" s="770"/>
      <c r="AC3" s="771"/>
      <c r="AD3" s="772"/>
      <c r="AE3" s="770"/>
      <c r="AF3" s="771"/>
      <c r="AG3" s="772"/>
      <c r="AH3" s="770"/>
      <c r="AI3" s="771"/>
      <c r="AJ3" s="772"/>
      <c r="AK3" s="770"/>
      <c r="AL3" s="771"/>
      <c r="AM3" s="772"/>
      <c r="AN3" s="770"/>
      <c r="AO3" s="771"/>
      <c r="AP3" s="772"/>
      <c r="AQ3" s="770"/>
      <c r="AR3" s="771"/>
      <c r="AS3" s="772"/>
      <c r="AT3" s="770"/>
      <c r="AU3" s="771"/>
      <c r="AV3" s="772"/>
      <c r="AW3" s="770"/>
      <c r="AX3" s="771"/>
      <c r="AY3" s="772"/>
      <c r="AZ3" s="770"/>
      <c r="BA3" s="771"/>
      <c r="BB3" s="772"/>
      <c r="BC3" s="770"/>
      <c r="BD3" s="771"/>
      <c r="BE3" s="772"/>
      <c r="BF3" s="770"/>
      <c r="BG3" s="771"/>
      <c r="BH3" s="772"/>
      <c r="BI3" s="770"/>
      <c r="BJ3" s="771"/>
      <c r="BK3" s="772"/>
      <c r="BL3" s="770"/>
      <c r="BM3" s="771"/>
      <c r="BN3" s="772"/>
      <c r="BO3" s="770"/>
      <c r="BP3" s="771"/>
      <c r="BQ3" s="772"/>
    </row>
    <row r="4" spans="1:70" s="58" customFormat="1" ht="15.75" customHeight="1" thickBot="1">
      <c r="A4" s="244" t="s">
        <v>40</v>
      </c>
      <c r="B4" s="244" t="s">
        <v>10</v>
      </c>
      <c r="C4" s="244" t="s">
        <v>23</v>
      </c>
      <c r="D4" s="245" t="s">
        <v>172</v>
      </c>
      <c r="E4" s="246" t="s">
        <v>125</v>
      </c>
      <c r="F4" s="247" t="s">
        <v>118</v>
      </c>
      <c r="G4" s="248" t="s">
        <v>172</v>
      </c>
      <c r="H4" s="248" t="s">
        <v>125</v>
      </c>
      <c r="I4" s="249" t="s">
        <v>118</v>
      </c>
      <c r="J4" s="248" t="s">
        <v>172</v>
      </c>
      <c r="K4" s="248" t="s">
        <v>125</v>
      </c>
      <c r="L4" s="249" t="s">
        <v>118</v>
      </c>
      <c r="M4" s="248" t="s">
        <v>172</v>
      </c>
      <c r="N4" s="248" t="s">
        <v>125</v>
      </c>
      <c r="O4" s="249" t="s">
        <v>118</v>
      </c>
      <c r="P4" s="248" t="s">
        <v>172</v>
      </c>
      <c r="Q4" s="248" t="s">
        <v>125</v>
      </c>
      <c r="R4" s="249" t="s">
        <v>118</v>
      </c>
      <c r="S4" s="248" t="s">
        <v>172</v>
      </c>
      <c r="T4" s="248" t="s">
        <v>125</v>
      </c>
      <c r="U4" s="249" t="s">
        <v>118</v>
      </c>
      <c r="V4" s="248" t="s">
        <v>172</v>
      </c>
      <c r="W4" s="248" t="s">
        <v>125</v>
      </c>
      <c r="X4" s="249" t="s">
        <v>118</v>
      </c>
      <c r="Y4" s="248" t="s">
        <v>172</v>
      </c>
      <c r="Z4" s="248" t="s">
        <v>125</v>
      </c>
      <c r="AA4" s="249" t="s">
        <v>118</v>
      </c>
      <c r="AB4" s="248" t="s">
        <v>172</v>
      </c>
      <c r="AC4" s="248" t="s">
        <v>125</v>
      </c>
      <c r="AD4" s="249" t="s">
        <v>118</v>
      </c>
      <c r="AE4" s="248" t="s">
        <v>172</v>
      </c>
      <c r="AF4" s="248" t="s">
        <v>125</v>
      </c>
      <c r="AG4" s="249" t="s">
        <v>118</v>
      </c>
      <c r="AH4" s="248" t="s">
        <v>172</v>
      </c>
      <c r="AI4" s="248" t="s">
        <v>125</v>
      </c>
      <c r="AJ4" s="249" t="s">
        <v>118</v>
      </c>
      <c r="AK4" s="248" t="s">
        <v>172</v>
      </c>
      <c r="AL4" s="248" t="s">
        <v>125</v>
      </c>
      <c r="AM4" s="249" t="s">
        <v>118</v>
      </c>
      <c r="AN4" s="248" t="s">
        <v>172</v>
      </c>
      <c r="AO4" s="248" t="s">
        <v>125</v>
      </c>
      <c r="AP4" s="249" t="s">
        <v>118</v>
      </c>
      <c r="AQ4" s="248" t="s">
        <v>172</v>
      </c>
      <c r="AR4" s="248" t="s">
        <v>125</v>
      </c>
      <c r="AS4" s="249" t="s">
        <v>118</v>
      </c>
      <c r="AT4" s="248" t="s">
        <v>172</v>
      </c>
      <c r="AU4" s="248" t="s">
        <v>125</v>
      </c>
      <c r="AV4" s="249" t="s">
        <v>118</v>
      </c>
      <c r="AW4" s="248" t="s">
        <v>172</v>
      </c>
      <c r="AX4" s="248" t="s">
        <v>125</v>
      </c>
      <c r="AY4" s="249" t="s">
        <v>118</v>
      </c>
      <c r="AZ4" s="248" t="s">
        <v>172</v>
      </c>
      <c r="BA4" s="248" t="s">
        <v>125</v>
      </c>
      <c r="BB4" s="249" t="s">
        <v>118</v>
      </c>
      <c r="BC4" s="248" t="s">
        <v>172</v>
      </c>
      <c r="BD4" s="248" t="s">
        <v>125</v>
      </c>
      <c r="BE4" s="249" t="s">
        <v>118</v>
      </c>
      <c r="BF4" s="248" t="s">
        <v>172</v>
      </c>
      <c r="BG4" s="248" t="s">
        <v>125</v>
      </c>
      <c r="BH4" s="249" t="s">
        <v>118</v>
      </c>
      <c r="BI4" s="248" t="s">
        <v>172</v>
      </c>
      <c r="BJ4" s="248" t="s">
        <v>125</v>
      </c>
      <c r="BK4" s="249" t="s">
        <v>118</v>
      </c>
      <c r="BL4" s="248" t="s">
        <v>172</v>
      </c>
      <c r="BM4" s="248" t="s">
        <v>125</v>
      </c>
      <c r="BN4" s="249" t="s">
        <v>118</v>
      </c>
      <c r="BO4" s="248" t="s">
        <v>172</v>
      </c>
      <c r="BP4" s="248" t="s">
        <v>125</v>
      </c>
      <c r="BQ4" s="249" t="s">
        <v>118</v>
      </c>
      <c r="BR4" s="250"/>
    </row>
    <row r="5" spans="1:70" ht="14.65" customHeight="1">
      <c r="A5" s="776" t="s">
        <v>236</v>
      </c>
      <c r="B5" s="780" t="s">
        <v>37</v>
      </c>
      <c r="C5" s="251" t="s">
        <v>25</v>
      </c>
      <c r="D5" s="252">
        <f>SUM(G5,J5,M5,P5,S5,V5,Y5,AB5,AE5,AH5,AK5,AN5,AQ5,AT5,AW5,AZ5,AZ5,BC5,BF5,BI5,BL5,BO5)</f>
        <v>1440000</v>
      </c>
      <c r="E5" s="253">
        <f>SUM(H5,K5,N5,Q5,T5,W5,Z5,AC5,AF5,AI5,AL5,AO5,AR5,AU5,AX5,BA5,BA5,BD5,BG5,BJ5,BM5,BP5)</f>
        <v>1440000</v>
      </c>
      <c r="F5" s="254">
        <f>SUM(I5,L5,O5,R5,U5,X5,AA5,AD5,AG5,AJ5,AM5,AP5,AS5,AV5,AY5,BB5,BB5,BE5,BH5,BK5,BN5,BQ5)</f>
        <v>0</v>
      </c>
      <c r="G5" s="539">
        <v>90000</v>
      </c>
      <c r="H5" s="540">
        <v>90000</v>
      </c>
      <c r="I5" s="257">
        <f>H5-G5</f>
        <v>0</v>
      </c>
      <c r="J5" s="539">
        <f>G5*15</f>
        <v>1350000</v>
      </c>
      <c r="K5" s="540">
        <f>H5*15</f>
        <v>1350000</v>
      </c>
      <c r="L5" s="257">
        <f>K5-J5</f>
        <v>0</v>
      </c>
      <c r="M5" s="539"/>
      <c r="N5" s="540"/>
      <c r="O5" s="257">
        <f>N5-M5</f>
        <v>0</v>
      </c>
      <c r="P5" s="255"/>
      <c r="Q5" s="256"/>
      <c r="R5" s="257">
        <f>Q5-P5</f>
        <v>0</v>
      </c>
      <c r="S5" s="255"/>
      <c r="T5" s="256"/>
      <c r="U5" s="257">
        <f>T5-S5</f>
        <v>0</v>
      </c>
      <c r="V5" s="255"/>
      <c r="W5" s="256"/>
      <c r="X5" s="257">
        <f>W5-V5</f>
        <v>0</v>
      </c>
      <c r="Y5" s="255"/>
      <c r="Z5" s="256"/>
      <c r="AA5" s="257">
        <f>Z5-Y5</f>
        <v>0</v>
      </c>
      <c r="AB5" s="255"/>
      <c r="AC5" s="256"/>
      <c r="AD5" s="257">
        <f>AC5-AB5</f>
        <v>0</v>
      </c>
      <c r="AE5" s="255"/>
      <c r="AF5" s="256"/>
      <c r="AG5" s="257">
        <f>AF5-AE5</f>
        <v>0</v>
      </c>
      <c r="AH5" s="255"/>
      <c r="AI5" s="256"/>
      <c r="AJ5" s="257">
        <f>AI5-AH5</f>
        <v>0</v>
      </c>
      <c r="AK5" s="255"/>
      <c r="AL5" s="256"/>
      <c r="AM5" s="257">
        <f>AL5-AK5</f>
        <v>0</v>
      </c>
      <c r="AN5" s="255"/>
      <c r="AO5" s="256"/>
      <c r="AP5" s="257">
        <f>AO5-AN5</f>
        <v>0</v>
      </c>
      <c r="AQ5" s="255"/>
      <c r="AR5" s="256"/>
      <c r="AS5" s="257">
        <f>AR5-AQ5</f>
        <v>0</v>
      </c>
      <c r="AT5" s="255"/>
      <c r="AU5" s="256"/>
      <c r="AV5" s="257">
        <f>AU5-AT5</f>
        <v>0</v>
      </c>
      <c r="AW5" s="255"/>
      <c r="AX5" s="256"/>
      <c r="AY5" s="257">
        <f>AX5-AW5</f>
        <v>0</v>
      </c>
      <c r="AZ5" s="255"/>
      <c r="BA5" s="256"/>
      <c r="BB5" s="257">
        <f>BA5-AZ5</f>
        <v>0</v>
      </c>
      <c r="BC5" s="255"/>
      <c r="BD5" s="256"/>
      <c r="BE5" s="257">
        <f>BD5-BC5</f>
        <v>0</v>
      </c>
      <c r="BF5" s="255"/>
      <c r="BG5" s="256"/>
      <c r="BH5" s="257">
        <f>BG5-BF5</f>
        <v>0</v>
      </c>
      <c r="BI5" s="255"/>
      <c r="BJ5" s="256"/>
      <c r="BK5" s="257">
        <f>BJ5-BI5</f>
        <v>0</v>
      </c>
      <c r="BL5" s="255"/>
      <c r="BM5" s="256"/>
      <c r="BN5" s="257">
        <f>BM5-BL5</f>
        <v>0</v>
      </c>
      <c r="BO5" s="255"/>
      <c r="BP5" s="256"/>
      <c r="BQ5" s="257">
        <f>BP5-BO5</f>
        <v>0</v>
      </c>
      <c r="BR5" s="258">
        <v>0</v>
      </c>
    </row>
    <row r="6" spans="1:70">
      <c r="A6" s="777"/>
      <c r="B6" s="781"/>
      <c r="C6" s="24" t="s">
        <v>26</v>
      </c>
      <c r="D6" s="259">
        <f t="shared" ref="D6:D14" si="0">SUM(G6,J6,M6,P6,S6,V6,Y6,AB6,AE6,AH6,AK6,AN6,AQ6,AT6,AW6,AZ6,AZ6,BC6,BF6,BI6,BL6,BO6)</f>
        <v>2400000</v>
      </c>
      <c r="E6" s="260">
        <f t="shared" ref="E6:E14" si="1">SUM(H6,K6,N6,Q6,T6,W6,Z6,AC6,AF6,AI6,AL6,AO6,AR6,AU6,AX6,BA6,BA6,BD6,BG6,BJ6,BM6,BP6)</f>
        <v>2400000</v>
      </c>
      <c r="F6" s="261">
        <f t="shared" ref="F6:F14" si="2">SUM(I6,L6,O6,R6,U6,X6,AA6,AD6,AG6,AJ6,AM6,AP6,AS6,AV6,AY6,BB6,BB6,BE6,BH6,BK6,BN6,BQ6)</f>
        <v>0</v>
      </c>
      <c r="G6" s="541">
        <v>150000</v>
      </c>
      <c r="H6" s="542">
        <v>150000</v>
      </c>
      <c r="I6" s="262">
        <f t="shared" ref="I6:I24" si="3">H6-G6</f>
        <v>0</v>
      </c>
      <c r="J6" s="541">
        <f t="shared" ref="J6:J14" si="4">G6*15</f>
        <v>2250000</v>
      </c>
      <c r="K6" s="542">
        <f t="shared" ref="K6:K14" si="5">H6*15</f>
        <v>2250000</v>
      </c>
      <c r="L6" s="262">
        <f t="shared" ref="L6:L24" si="6">K6-J6</f>
        <v>0</v>
      </c>
      <c r="M6" s="541"/>
      <c r="N6" s="542"/>
      <c r="O6" s="262">
        <f t="shared" ref="O6:O24" si="7">N6-M6</f>
        <v>0</v>
      </c>
      <c r="P6" s="541"/>
      <c r="Q6" s="542"/>
      <c r="R6" s="262">
        <f t="shared" ref="R6:R24" si="8">Q6-P6</f>
        <v>0</v>
      </c>
      <c r="S6" s="541"/>
      <c r="T6" s="542"/>
      <c r="U6" s="262">
        <f t="shared" ref="U6:U24" si="9">T6-S6</f>
        <v>0</v>
      </c>
      <c r="V6" s="541"/>
      <c r="W6" s="542"/>
      <c r="X6" s="262">
        <f t="shared" ref="X6:X24" si="10">W6-V6</f>
        <v>0</v>
      </c>
      <c r="Y6" s="541"/>
      <c r="Z6" s="542"/>
      <c r="AA6" s="262">
        <f t="shared" ref="AA6:AA24" si="11">Z6-Y6</f>
        <v>0</v>
      </c>
      <c r="AB6" s="541"/>
      <c r="AC6" s="542"/>
      <c r="AD6" s="262">
        <f t="shared" ref="AD6:AD24" si="12">AC6-AB6</f>
        <v>0</v>
      </c>
      <c r="AE6" s="541"/>
      <c r="AF6" s="542"/>
      <c r="AG6" s="262">
        <f t="shared" ref="AG6:AG24" si="13">AF6-AE6</f>
        <v>0</v>
      </c>
      <c r="AH6" s="541"/>
      <c r="AI6" s="542"/>
      <c r="AJ6" s="262">
        <f t="shared" ref="AJ6:AJ24" si="14">AI6-AH6</f>
        <v>0</v>
      </c>
      <c r="AK6" s="541"/>
      <c r="AL6" s="542"/>
      <c r="AM6" s="262">
        <f t="shared" ref="AM6:AM24" si="15">AL6-AK6</f>
        <v>0</v>
      </c>
      <c r="AN6" s="541"/>
      <c r="AO6" s="542"/>
      <c r="AP6" s="262">
        <f t="shared" ref="AP6:AP24" si="16">AO6-AN6</f>
        <v>0</v>
      </c>
      <c r="AQ6" s="541"/>
      <c r="AR6" s="542"/>
      <c r="AS6" s="262">
        <f t="shared" ref="AS6:AS24" si="17">AR6-AQ6</f>
        <v>0</v>
      </c>
      <c r="AT6" s="541"/>
      <c r="AU6" s="542"/>
      <c r="AV6" s="262">
        <f t="shared" ref="AV6:AV24" si="18">AU6-AT6</f>
        <v>0</v>
      </c>
      <c r="AW6" s="541"/>
      <c r="AX6" s="542"/>
      <c r="AY6" s="262">
        <f t="shared" ref="AY6:AY24" si="19">AX6-AW6</f>
        <v>0</v>
      </c>
      <c r="AZ6" s="541"/>
      <c r="BA6" s="542"/>
      <c r="BB6" s="262">
        <f t="shared" ref="BB6:BB24" si="20">BA6-AZ6</f>
        <v>0</v>
      </c>
      <c r="BC6" s="541"/>
      <c r="BD6" s="542"/>
      <c r="BE6" s="262">
        <f t="shared" ref="BE6:BE24" si="21">BD6-BC6</f>
        <v>0</v>
      </c>
      <c r="BF6" s="541"/>
      <c r="BG6" s="542"/>
      <c r="BH6" s="262">
        <f t="shared" ref="BH6:BH24" si="22">BG6-BF6</f>
        <v>0</v>
      </c>
      <c r="BI6" s="541"/>
      <c r="BJ6" s="542"/>
      <c r="BK6" s="262">
        <f t="shared" ref="BK6:BK24" si="23">BJ6-BI6</f>
        <v>0</v>
      </c>
      <c r="BL6" s="541"/>
      <c r="BM6" s="542"/>
      <c r="BN6" s="262">
        <f t="shared" ref="BN6:BN24" si="24">BM6-BL6</f>
        <v>0</v>
      </c>
      <c r="BO6" s="541"/>
      <c r="BP6" s="542"/>
      <c r="BQ6" s="262">
        <f t="shared" ref="BQ6:BQ24" si="25">BP6-BO6</f>
        <v>0</v>
      </c>
      <c r="BR6" s="258"/>
    </row>
    <row r="7" spans="1:70">
      <c r="A7" s="777"/>
      <c r="B7" s="781"/>
      <c r="C7" s="24" t="s">
        <v>27</v>
      </c>
      <c r="D7" s="259">
        <f t="shared" si="0"/>
        <v>2400000</v>
      </c>
      <c r="E7" s="260">
        <f t="shared" si="1"/>
        <v>2400000</v>
      </c>
      <c r="F7" s="261">
        <f t="shared" si="2"/>
        <v>0</v>
      </c>
      <c r="G7" s="541">
        <v>150000</v>
      </c>
      <c r="H7" s="542">
        <v>150000</v>
      </c>
      <c r="I7" s="262">
        <f t="shared" si="3"/>
        <v>0</v>
      </c>
      <c r="J7" s="541">
        <f t="shared" si="4"/>
        <v>2250000</v>
      </c>
      <c r="K7" s="542">
        <f t="shared" si="5"/>
        <v>2250000</v>
      </c>
      <c r="L7" s="262">
        <f t="shared" si="6"/>
        <v>0</v>
      </c>
      <c r="M7" s="541"/>
      <c r="N7" s="542"/>
      <c r="O7" s="262">
        <f t="shared" si="7"/>
        <v>0</v>
      </c>
      <c r="P7" s="541"/>
      <c r="Q7" s="542"/>
      <c r="R7" s="262">
        <f t="shared" si="8"/>
        <v>0</v>
      </c>
      <c r="S7" s="541"/>
      <c r="T7" s="542"/>
      <c r="U7" s="262">
        <f t="shared" si="9"/>
        <v>0</v>
      </c>
      <c r="V7" s="541"/>
      <c r="W7" s="542"/>
      <c r="X7" s="262">
        <f t="shared" si="10"/>
        <v>0</v>
      </c>
      <c r="Y7" s="541"/>
      <c r="Z7" s="542"/>
      <c r="AA7" s="262">
        <f t="shared" si="11"/>
        <v>0</v>
      </c>
      <c r="AB7" s="541"/>
      <c r="AC7" s="542"/>
      <c r="AD7" s="262">
        <f t="shared" si="12"/>
        <v>0</v>
      </c>
      <c r="AE7" s="541"/>
      <c r="AF7" s="542"/>
      <c r="AG7" s="262">
        <f t="shared" si="13"/>
        <v>0</v>
      </c>
      <c r="AH7" s="541"/>
      <c r="AI7" s="542"/>
      <c r="AJ7" s="262">
        <f t="shared" si="14"/>
        <v>0</v>
      </c>
      <c r="AK7" s="541"/>
      <c r="AL7" s="542"/>
      <c r="AM7" s="262">
        <f t="shared" si="15"/>
        <v>0</v>
      </c>
      <c r="AN7" s="541"/>
      <c r="AO7" s="542"/>
      <c r="AP7" s="262">
        <f t="shared" si="16"/>
        <v>0</v>
      </c>
      <c r="AQ7" s="541"/>
      <c r="AR7" s="542"/>
      <c r="AS7" s="262">
        <f t="shared" si="17"/>
        <v>0</v>
      </c>
      <c r="AT7" s="541"/>
      <c r="AU7" s="542"/>
      <c r="AV7" s="262">
        <f t="shared" si="18"/>
        <v>0</v>
      </c>
      <c r="AW7" s="541"/>
      <c r="AX7" s="542"/>
      <c r="AY7" s="262">
        <f t="shared" si="19"/>
        <v>0</v>
      </c>
      <c r="AZ7" s="541"/>
      <c r="BA7" s="542"/>
      <c r="BB7" s="262">
        <f t="shared" si="20"/>
        <v>0</v>
      </c>
      <c r="BC7" s="541"/>
      <c r="BD7" s="542"/>
      <c r="BE7" s="262">
        <f t="shared" si="21"/>
        <v>0</v>
      </c>
      <c r="BF7" s="541"/>
      <c r="BG7" s="542"/>
      <c r="BH7" s="262">
        <f t="shared" si="22"/>
        <v>0</v>
      </c>
      <c r="BI7" s="541"/>
      <c r="BJ7" s="542"/>
      <c r="BK7" s="262">
        <f t="shared" si="23"/>
        <v>0</v>
      </c>
      <c r="BL7" s="541"/>
      <c r="BM7" s="542"/>
      <c r="BN7" s="262">
        <f t="shared" si="24"/>
        <v>0</v>
      </c>
      <c r="BO7" s="541"/>
      <c r="BP7" s="542"/>
      <c r="BQ7" s="262">
        <f t="shared" si="25"/>
        <v>0</v>
      </c>
      <c r="BR7" s="258"/>
    </row>
    <row r="8" spans="1:70">
      <c r="A8" s="777"/>
      <c r="B8" s="781"/>
      <c r="C8" s="24" t="s">
        <v>28</v>
      </c>
      <c r="D8" s="259">
        <f t="shared" si="0"/>
        <v>2400000</v>
      </c>
      <c r="E8" s="260">
        <f t="shared" si="1"/>
        <v>2400000</v>
      </c>
      <c r="F8" s="261">
        <f t="shared" si="2"/>
        <v>0</v>
      </c>
      <c r="G8" s="541">
        <v>150000</v>
      </c>
      <c r="H8" s="542">
        <v>150000</v>
      </c>
      <c r="I8" s="262">
        <f t="shared" si="3"/>
        <v>0</v>
      </c>
      <c r="J8" s="541">
        <f t="shared" si="4"/>
        <v>2250000</v>
      </c>
      <c r="K8" s="542">
        <f t="shared" si="5"/>
        <v>2250000</v>
      </c>
      <c r="L8" s="262">
        <f t="shared" si="6"/>
        <v>0</v>
      </c>
      <c r="M8" s="541"/>
      <c r="N8" s="542"/>
      <c r="O8" s="262">
        <f t="shared" si="7"/>
        <v>0</v>
      </c>
      <c r="P8" s="541"/>
      <c r="Q8" s="542"/>
      <c r="R8" s="262">
        <f t="shared" si="8"/>
        <v>0</v>
      </c>
      <c r="S8" s="541"/>
      <c r="T8" s="542"/>
      <c r="U8" s="262">
        <f t="shared" si="9"/>
        <v>0</v>
      </c>
      <c r="V8" s="541"/>
      <c r="W8" s="542"/>
      <c r="X8" s="262">
        <f t="shared" si="10"/>
        <v>0</v>
      </c>
      <c r="Y8" s="541"/>
      <c r="Z8" s="542"/>
      <c r="AA8" s="262">
        <f t="shared" si="11"/>
        <v>0</v>
      </c>
      <c r="AB8" s="541"/>
      <c r="AC8" s="542"/>
      <c r="AD8" s="262">
        <f t="shared" si="12"/>
        <v>0</v>
      </c>
      <c r="AE8" s="541"/>
      <c r="AF8" s="542"/>
      <c r="AG8" s="262">
        <f t="shared" si="13"/>
        <v>0</v>
      </c>
      <c r="AH8" s="541"/>
      <c r="AI8" s="542"/>
      <c r="AJ8" s="262">
        <f t="shared" si="14"/>
        <v>0</v>
      </c>
      <c r="AK8" s="541"/>
      <c r="AL8" s="542"/>
      <c r="AM8" s="262">
        <f t="shared" si="15"/>
        <v>0</v>
      </c>
      <c r="AN8" s="541"/>
      <c r="AO8" s="542"/>
      <c r="AP8" s="262">
        <f t="shared" si="16"/>
        <v>0</v>
      </c>
      <c r="AQ8" s="541"/>
      <c r="AR8" s="542"/>
      <c r="AS8" s="262">
        <f t="shared" si="17"/>
        <v>0</v>
      </c>
      <c r="AT8" s="541"/>
      <c r="AU8" s="542"/>
      <c r="AV8" s="262">
        <f t="shared" si="18"/>
        <v>0</v>
      </c>
      <c r="AW8" s="541"/>
      <c r="AX8" s="542"/>
      <c r="AY8" s="262">
        <f t="shared" si="19"/>
        <v>0</v>
      </c>
      <c r="AZ8" s="541"/>
      <c r="BA8" s="542"/>
      <c r="BB8" s="262">
        <f t="shared" si="20"/>
        <v>0</v>
      </c>
      <c r="BC8" s="541"/>
      <c r="BD8" s="542"/>
      <c r="BE8" s="262">
        <f t="shared" si="21"/>
        <v>0</v>
      </c>
      <c r="BF8" s="541"/>
      <c r="BG8" s="542"/>
      <c r="BH8" s="262">
        <f t="shared" si="22"/>
        <v>0</v>
      </c>
      <c r="BI8" s="541"/>
      <c r="BJ8" s="542"/>
      <c r="BK8" s="262">
        <f t="shared" si="23"/>
        <v>0</v>
      </c>
      <c r="BL8" s="541"/>
      <c r="BM8" s="542"/>
      <c r="BN8" s="262">
        <f t="shared" si="24"/>
        <v>0</v>
      </c>
      <c r="BO8" s="541"/>
      <c r="BP8" s="542"/>
      <c r="BQ8" s="262">
        <f t="shared" si="25"/>
        <v>0</v>
      </c>
      <c r="BR8" s="258"/>
    </row>
    <row r="9" spans="1:70">
      <c r="A9" s="777"/>
      <c r="B9" s="781"/>
      <c r="C9" s="24" t="s">
        <v>29</v>
      </c>
      <c r="D9" s="259">
        <f t="shared" si="0"/>
        <v>2400000</v>
      </c>
      <c r="E9" s="260">
        <f t="shared" si="1"/>
        <v>2400000</v>
      </c>
      <c r="F9" s="261">
        <f t="shared" si="2"/>
        <v>0</v>
      </c>
      <c r="G9" s="541">
        <v>150000</v>
      </c>
      <c r="H9" s="542">
        <v>150000</v>
      </c>
      <c r="I9" s="262">
        <f t="shared" si="3"/>
        <v>0</v>
      </c>
      <c r="J9" s="541">
        <f t="shared" si="4"/>
        <v>2250000</v>
      </c>
      <c r="K9" s="542">
        <f t="shared" si="5"/>
        <v>2250000</v>
      </c>
      <c r="L9" s="262">
        <f t="shared" si="6"/>
        <v>0</v>
      </c>
      <c r="M9" s="541"/>
      <c r="N9" s="542"/>
      <c r="O9" s="262">
        <f t="shared" si="7"/>
        <v>0</v>
      </c>
      <c r="P9" s="541"/>
      <c r="Q9" s="542"/>
      <c r="R9" s="262">
        <f t="shared" si="8"/>
        <v>0</v>
      </c>
      <c r="S9" s="541"/>
      <c r="T9" s="542"/>
      <c r="U9" s="262">
        <f t="shared" si="9"/>
        <v>0</v>
      </c>
      <c r="V9" s="541"/>
      <c r="W9" s="542"/>
      <c r="X9" s="262">
        <f t="shared" si="10"/>
        <v>0</v>
      </c>
      <c r="Y9" s="541"/>
      <c r="Z9" s="542"/>
      <c r="AA9" s="262">
        <f t="shared" si="11"/>
        <v>0</v>
      </c>
      <c r="AB9" s="541"/>
      <c r="AC9" s="542"/>
      <c r="AD9" s="262">
        <f t="shared" si="12"/>
        <v>0</v>
      </c>
      <c r="AE9" s="541"/>
      <c r="AF9" s="542"/>
      <c r="AG9" s="262">
        <f t="shared" si="13"/>
        <v>0</v>
      </c>
      <c r="AH9" s="541"/>
      <c r="AI9" s="542"/>
      <c r="AJ9" s="262">
        <f t="shared" si="14"/>
        <v>0</v>
      </c>
      <c r="AK9" s="541"/>
      <c r="AL9" s="542"/>
      <c r="AM9" s="262">
        <f t="shared" si="15"/>
        <v>0</v>
      </c>
      <c r="AN9" s="541"/>
      <c r="AO9" s="542"/>
      <c r="AP9" s="262">
        <f t="shared" si="16"/>
        <v>0</v>
      </c>
      <c r="AQ9" s="541"/>
      <c r="AR9" s="542"/>
      <c r="AS9" s="262">
        <f t="shared" si="17"/>
        <v>0</v>
      </c>
      <c r="AT9" s="541"/>
      <c r="AU9" s="542"/>
      <c r="AV9" s="262">
        <f t="shared" si="18"/>
        <v>0</v>
      </c>
      <c r="AW9" s="541"/>
      <c r="AX9" s="542"/>
      <c r="AY9" s="262">
        <f t="shared" si="19"/>
        <v>0</v>
      </c>
      <c r="AZ9" s="541"/>
      <c r="BA9" s="542"/>
      <c r="BB9" s="262">
        <f t="shared" si="20"/>
        <v>0</v>
      </c>
      <c r="BC9" s="541"/>
      <c r="BD9" s="542"/>
      <c r="BE9" s="262">
        <f t="shared" si="21"/>
        <v>0</v>
      </c>
      <c r="BF9" s="541"/>
      <c r="BG9" s="542"/>
      <c r="BH9" s="262">
        <f t="shared" si="22"/>
        <v>0</v>
      </c>
      <c r="BI9" s="541"/>
      <c r="BJ9" s="542"/>
      <c r="BK9" s="262">
        <f t="shared" si="23"/>
        <v>0</v>
      </c>
      <c r="BL9" s="541"/>
      <c r="BM9" s="542"/>
      <c r="BN9" s="262">
        <f t="shared" si="24"/>
        <v>0</v>
      </c>
      <c r="BO9" s="541"/>
      <c r="BP9" s="542"/>
      <c r="BQ9" s="262">
        <f t="shared" si="25"/>
        <v>0</v>
      </c>
      <c r="BR9" s="258"/>
    </row>
    <row r="10" spans="1:70">
      <c r="A10" s="777"/>
      <c r="B10" s="781"/>
      <c r="C10" s="24" t="s">
        <v>30</v>
      </c>
      <c r="D10" s="259">
        <f t="shared" si="0"/>
        <v>2400000</v>
      </c>
      <c r="E10" s="260">
        <f t="shared" si="1"/>
        <v>2400000</v>
      </c>
      <c r="F10" s="261">
        <f t="shared" si="2"/>
        <v>0</v>
      </c>
      <c r="G10" s="541">
        <v>150000</v>
      </c>
      <c r="H10" s="542">
        <v>150000</v>
      </c>
      <c r="I10" s="262">
        <f t="shared" si="3"/>
        <v>0</v>
      </c>
      <c r="J10" s="541">
        <f t="shared" si="4"/>
        <v>2250000</v>
      </c>
      <c r="K10" s="542">
        <f t="shared" si="5"/>
        <v>2250000</v>
      </c>
      <c r="L10" s="262">
        <f t="shared" si="6"/>
        <v>0</v>
      </c>
      <c r="M10" s="541"/>
      <c r="N10" s="542"/>
      <c r="O10" s="262">
        <f t="shared" si="7"/>
        <v>0</v>
      </c>
      <c r="P10" s="541"/>
      <c r="Q10" s="542"/>
      <c r="R10" s="262">
        <f t="shared" si="8"/>
        <v>0</v>
      </c>
      <c r="S10" s="541"/>
      <c r="T10" s="542"/>
      <c r="U10" s="262">
        <f t="shared" si="9"/>
        <v>0</v>
      </c>
      <c r="V10" s="541"/>
      <c r="W10" s="542"/>
      <c r="X10" s="262">
        <f t="shared" si="10"/>
        <v>0</v>
      </c>
      <c r="Y10" s="541"/>
      <c r="Z10" s="542"/>
      <c r="AA10" s="262">
        <f t="shared" si="11"/>
        <v>0</v>
      </c>
      <c r="AB10" s="541"/>
      <c r="AC10" s="542"/>
      <c r="AD10" s="262">
        <f t="shared" si="12"/>
        <v>0</v>
      </c>
      <c r="AE10" s="541"/>
      <c r="AF10" s="542"/>
      <c r="AG10" s="262">
        <f t="shared" si="13"/>
        <v>0</v>
      </c>
      <c r="AH10" s="541"/>
      <c r="AI10" s="542"/>
      <c r="AJ10" s="262">
        <f t="shared" si="14"/>
        <v>0</v>
      </c>
      <c r="AK10" s="541"/>
      <c r="AL10" s="542"/>
      <c r="AM10" s="262">
        <f t="shared" si="15"/>
        <v>0</v>
      </c>
      <c r="AN10" s="541"/>
      <c r="AO10" s="542"/>
      <c r="AP10" s="262">
        <f t="shared" si="16"/>
        <v>0</v>
      </c>
      <c r="AQ10" s="541"/>
      <c r="AR10" s="542"/>
      <c r="AS10" s="262">
        <f t="shared" si="17"/>
        <v>0</v>
      </c>
      <c r="AT10" s="541"/>
      <c r="AU10" s="542"/>
      <c r="AV10" s="262">
        <f t="shared" si="18"/>
        <v>0</v>
      </c>
      <c r="AW10" s="541"/>
      <c r="AX10" s="542"/>
      <c r="AY10" s="262">
        <f t="shared" si="19"/>
        <v>0</v>
      </c>
      <c r="AZ10" s="541"/>
      <c r="BA10" s="542"/>
      <c r="BB10" s="262">
        <f t="shared" si="20"/>
        <v>0</v>
      </c>
      <c r="BC10" s="541"/>
      <c r="BD10" s="542"/>
      <c r="BE10" s="262">
        <f t="shared" si="21"/>
        <v>0</v>
      </c>
      <c r="BF10" s="541"/>
      <c r="BG10" s="542"/>
      <c r="BH10" s="262">
        <f t="shared" si="22"/>
        <v>0</v>
      </c>
      <c r="BI10" s="541"/>
      <c r="BJ10" s="542"/>
      <c r="BK10" s="262">
        <f t="shared" si="23"/>
        <v>0</v>
      </c>
      <c r="BL10" s="541"/>
      <c r="BM10" s="542"/>
      <c r="BN10" s="262">
        <f t="shared" si="24"/>
        <v>0</v>
      </c>
      <c r="BO10" s="541"/>
      <c r="BP10" s="542"/>
      <c r="BQ10" s="262">
        <f t="shared" si="25"/>
        <v>0</v>
      </c>
      <c r="BR10" s="258"/>
    </row>
    <row r="11" spans="1:70">
      <c r="A11" s="777"/>
      <c r="B11" s="781"/>
      <c r="C11" s="24" t="s">
        <v>31</v>
      </c>
      <c r="D11" s="259">
        <f t="shared" si="0"/>
        <v>2400000</v>
      </c>
      <c r="E11" s="260">
        <f t="shared" si="1"/>
        <v>2400000</v>
      </c>
      <c r="F11" s="261">
        <f t="shared" si="2"/>
        <v>0</v>
      </c>
      <c r="G11" s="541">
        <v>150000</v>
      </c>
      <c r="H11" s="542">
        <v>150000</v>
      </c>
      <c r="I11" s="262">
        <f t="shared" si="3"/>
        <v>0</v>
      </c>
      <c r="J11" s="541">
        <f t="shared" si="4"/>
        <v>2250000</v>
      </c>
      <c r="K11" s="542">
        <f t="shared" si="5"/>
        <v>2250000</v>
      </c>
      <c r="L11" s="262">
        <f t="shared" si="6"/>
        <v>0</v>
      </c>
      <c r="M11" s="541"/>
      <c r="N11" s="542"/>
      <c r="O11" s="262">
        <f t="shared" si="7"/>
        <v>0</v>
      </c>
      <c r="P11" s="541"/>
      <c r="Q11" s="542"/>
      <c r="R11" s="262">
        <f t="shared" si="8"/>
        <v>0</v>
      </c>
      <c r="S11" s="541"/>
      <c r="T11" s="542"/>
      <c r="U11" s="262">
        <f t="shared" si="9"/>
        <v>0</v>
      </c>
      <c r="V11" s="541"/>
      <c r="W11" s="542"/>
      <c r="X11" s="262">
        <f t="shared" si="10"/>
        <v>0</v>
      </c>
      <c r="Y11" s="541"/>
      <c r="Z11" s="542"/>
      <c r="AA11" s="262">
        <f t="shared" si="11"/>
        <v>0</v>
      </c>
      <c r="AB11" s="541"/>
      <c r="AC11" s="542"/>
      <c r="AD11" s="262">
        <f t="shared" si="12"/>
        <v>0</v>
      </c>
      <c r="AE11" s="541"/>
      <c r="AF11" s="542"/>
      <c r="AG11" s="262">
        <f t="shared" si="13"/>
        <v>0</v>
      </c>
      <c r="AH11" s="541"/>
      <c r="AI11" s="542"/>
      <c r="AJ11" s="262">
        <f t="shared" si="14"/>
        <v>0</v>
      </c>
      <c r="AK11" s="541"/>
      <c r="AL11" s="542"/>
      <c r="AM11" s="262">
        <f t="shared" si="15"/>
        <v>0</v>
      </c>
      <c r="AN11" s="541"/>
      <c r="AO11" s="542"/>
      <c r="AP11" s="262">
        <f t="shared" si="16"/>
        <v>0</v>
      </c>
      <c r="AQ11" s="541"/>
      <c r="AR11" s="542"/>
      <c r="AS11" s="262">
        <f t="shared" si="17"/>
        <v>0</v>
      </c>
      <c r="AT11" s="541"/>
      <c r="AU11" s="542"/>
      <c r="AV11" s="262">
        <f t="shared" si="18"/>
        <v>0</v>
      </c>
      <c r="AW11" s="541"/>
      <c r="AX11" s="542"/>
      <c r="AY11" s="262">
        <f t="shared" si="19"/>
        <v>0</v>
      </c>
      <c r="AZ11" s="541"/>
      <c r="BA11" s="542"/>
      <c r="BB11" s="262">
        <f t="shared" si="20"/>
        <v>0</v>
      </c>
      <c r="BC11" s="541"/>
      <c r="BD11" s="542"/>
      <c r="BE11" s="262">
        <f t="shared" si="21"/>
        <v>0</v>
      </c>
      <c r="BF11" s="541"/>
      <c r="BG11" s="542"/>
      <c r="BH11" s="262">
        <f t="shared" si="22"/>
        <v>0</v>
      </c>
      <c r="BI11" s="541"/>
      <c r="BJ11" s="542"/>
      <c r="BK11" s="262">
        <f t="shared" si="23"/>
        <v>0</v>
      </c>
      <c r="BL11" s="541"/>
      <c r="BM11" s="542"/>
      <c r="BN11" s="262">
        <f t="shared" si="24"/>
        <v>0</v>
      </c>
      <c r="BO11" s="541"/>
      <c r="BP11" s="542"/>
      <c r="BQ11" s="262">
        <f t="shared" si="25"/>
        <v>0</v>
      </c>
      <c r="BR11" s="258"/>
    </row>
    <row r="12" spans="1:70">
      <c r="A12" s="777"/>
      <c r="B12" s="781"/>
      <c r="C12" s="24" t="s">
        <v>32</v>
      </c>
      <c r="D12" s="259">
        <f t="shared" si="0"/>
        <v>2400000</v>
      </c>
      <c r="E12" s="260">
        <f t="shared" si="1"/>
        <v>2400000</v>
      </c>
      <c r="F12" s="261">
        <f t="shared" si="2"/>
        <v>0</v>
      </c>
      <c r="G12" s="541">
        <v>150000</v>
      </c>
      <c r="H12" s="542">
        <v>150000</v>
      </c>
      <c r="I12" s="262">
        <f t="shared" si="3"/>
        <v>0</v>
      </c>
      <c r="J12" s="541">
        <f t="shared" si="4"/>
        <v>2250000</v>
      </c>
      <c r="K12" s="542">
        <f t="shared" si="5"/>
        <v>2250000</v>
      </c>
      <c r="L12" s="262">
        <f t="shared" si="6"/>
        <v>0</v>
      </c>
      <c r="M12" s="541"/>
      <c r="N12" s="542"/>
      <c r="O12" s="262">
        <f t="shared" si="7"/>
        <v>0</v>
      </c>
      <c r="P12" s="541"/>
      <c r="Q12" s="542"/>
      <c r="R12" s="262">
        <f t="shared" si="8"/>
        <v>0</v>
      </c>
      <c r="S12" s="541"/>
      <c r="T12" s="542"/>
      <c r="U12" s="262">
        <f t="shared" si="9"/>
        <v>0</v>
      </c>
      <c r="V12" s="541"/>
      <c r="W12" s="542"/>
      <c r="X12" s="262">
        <f t="shared" si="10"/>
        <v>0</v>
      </c>
      <c r="Y12" s="541"/>
      <c r="Z12" s="542"/>
      <c r="AA12" s="262">
        <f t="shared" si="11"/>
        <v>0</v>
      </c>
      <c r="AB12" s="541"/>
      <c r="AC12" s="542"/>
      <c r="AD12" s="262">
        <f t="shared" si="12"/>
        <v>0</v>
      </c>
      <c r="AE12" s="541"/>
      <c r="AF12" s="542"/>
      <c r="AG12" s="262">
        <f t="shared" si="13"/>
        <v>0</v>
      </c>
      <c r="AH12" s="541"/>
      <c r="AI12" s="542"/>
      <c r="AJ12" s="262">
        <f t="shared" si="14"/>
        <v>0</v>
      </c>
      <c r="AK12" s="541"/>
      <c r="AL12" s="542"/>
      <c r="AM12" s="262">
        <f t="shared" si="15"/>
        <v>0</v>
      </c>
      <c r="AN12" s="541"/>
      <c r="AO12" s="542"/>
      <c r="AP12" s="262">
        <f t="shared" si="16"/>
        <v>0</v>
      </c>
      <c r="AQ12" s="541"/>
      <c r="AR12" s="542"/>
      <c r="AS12" s="262">
        <f t="shared" si="17"/>
        <v>0</v>
      </c>
      <c r="AT12" s="541"/>
      <c r="AU12" s="542"/>
      <c r="AV12" s="262">
        <f t="shared" si="18"/>
        <v>0</v>
      </c>
      <c r="AW12" s="541"/>
      <c r="AX12" s="542"/>
      <c r="AY12" s="262">
        <f t="shared" si="19"/>
        <v>0</v>
      </c>
      <c r="AZ12" s="541"/>
      <c r="BA12" s="542"/>
      <c r="BB12" s="262">
        <f t="shared" si="20"/>
        <v>0</v>
      </c>
      <c r="BC12" s="541"/>
      <c r="BD12" s="542"/>
      <c r="BE12" s="262">
        <f t="shared" si="21"/>
        <v>0</v>
      </c>
      <c r="BF12" s="541"/>
      <c r="BG12" s="542"/>
      <c r="BH12" s="262">
        <f t="shared" si="22"/>
        <v>0</v>
      </c>
      <c r="BI12" s="541"/>
      <c r="BJ12" s="542"/>
      <c r="BK12" s="262">
        <f t="shared" si="23"/>
        <v>0</v>
      </c>
      <c r="BL12" s="541"/>
      <c r="BM12" s="542"/>
      <c r="BN12" s="262">
        <f t="shared" si="24"/>
        <v>0</v>
      </c>
      <c r="BO12" s="541"/>
      <c r="BP12" s="542"/>
      <c r="BQ12" s="262">
        <f t="shared" si="25"/>
        <v>0</v>
      </c>
      <c r="BR12" s="258"/>
    </row>
    <row r="13" spans="1:70">
      <c r="A13" s="777"/>
      <c r="B13" s="781"/>
      <c r="C13" s="24" t="s">
        <v>33</v>
      </c>
      <c r="D13" s="259">
        <f t="shared" si="0"/>
        <v>2400000</v>
      </c>
      <c r="E13" s="260">
        <f t="shared" si="1"/>
        <v>2400000</v>
      </c>
      <c r="F13" s="261">
        <f t="shared" si="2"/>
        <v>0</v>
      </c>
      <c r="G13" s="541">
        <v>150000</v>
      </c>
      <c r="H13" s="542">
        <v>150000</v>
      </c>
      <c r="I13" s="262">
        <f t="shared" si="3"/>
        <v>0</v>
      </c>
      <c r="J13" s="541">
        <f t="shared" si="4"/>
        <v>2250000</v>
      </c>
      <c r="K13" s="542">
        <f t="shared" si="5"/>
        <v>2250000</v>
      </c>
      <c r="L13" s="262">
        <f t="shared" si="6"/>
        <v>0</v>
      </c>
      <c r="M13" s="541"/>
      <c r="N13" s="542"/>
      <c r="O13" s="262">
        <f t="shared" si="7"/>
        <v>0</v>
      </c>
      <c r="P13" s="541"/>
      <c r="Q13" s="542"/>
      <c r="R13" s="262">
        <f t="shared" si="8"/>
        <v>0</v>
      </c>
      <c r="S13" s="541"/>
      <c r="T13" s="542"/>
      <c r="U13" s="262">
        <f t="shared" si="9"/>
        <v>0</v>
      </c>
      <c r="V13" s="541"/>
      <c r="W13" s="542"/>
      <c r="X13" s="262">
        <f t="shared" si="10"/>
        <v>0</v>
      </c>
      <c r="Y13" s="541"/>
      <c r="Z13" s="542"/>
      <c r="AA13" s="262">
        <f t="shared" si="11"/>
        <v>0</v>
      </c>
      <c r="AB13" s="541"/>
      <c r="AC13" s="542"/>
      <c r="AD13" s="262">
        <f t="shared" si="12"/>
        <v>0</v>
      </c>
      <c r="AE13" s="541"/>
      <c r="AF13" s="542"/>
      <c r="AG13" s="262">
        <f t="shared" si="13"/>
        <v>0</v>
      </c>
      <c r="AH13" s="541"/>
      <c r="AI13" s="542"/>
      <c r="AJ13" s="262">
        <f t="shared" si="14"/>
        <v>0</v>
      </c>
      <c r="AK13" s="541"/>
      <c r="AL13" s="542"/>
      <c r="AM13" s="262">
        <f t="shared" si="15"/>
        <v>0</v>
      </c>
      <c r="AN13" s="541"/>
      <c r="AO13" s="542"/>
      <c r="AP13" s="262">
        <f t="shared" si="16"/>
        <v>0</v>
      </c>
      <c r="AQ13" s="541"/>
      <c r="AR13" s="542"/>
      <c r="AS13" s="262">
        <f t="shared" si="17"/>
        <v>0</v>
      </c>
      <c r="AT13" s="541"/>
      <c r="AU13" s="542"/>
      <c r="AV13" s="262">
        <f t="shared" si="18"/>
        <v>0</v>
      </c>
      <c r="AW13" s="541"/>
      <c r="AX13" s="542"/>
      <c r="AY13" s="262">
        <f t="shared" si="19"/>
        <v>0</v>
      </c>
      <c r="AZ13" s="541"/>
      <c r="BA13" s="542"/>
      <c r="BB13" s="262">
        <f t="shared" si="20"/>
        <v>0</v>
      </c>
      <c r="BC13" s="541"/>
      <c r="BD13" s="542"/>
      <c r="BE13" s="262">
        <f t="shared" si="21"/>
        <v>0</v>
      </c>
      <c r="BF13" s="541"/>
      <c r="BG13" s="542"/>
      <c r="BH13" s="262">
        <f t="shared" si="22"/>
        <v>0</v>
      </c>
      <c r="BI13" s="541"/>
      <c r="BJ13" s="542"/>
      <c r="BK13" s="262">
        <f t="shared" si="23"/>
        <v>0</v>
      </c>
      <c r="BL13" s="541"/>
      <c r="BM13" s="542"/>
      <c r="BN13" s="262">
        <f t="shared" si="24"/>
        <v>0</v>
      </c>
      <c r="BO13" s="541"/>
      <c r="BP13" s="542"/>
      <c r="BQ13" s="262">
        <f t="shared" si="25"/>
        <v>0</v>
      </c>
      <c r="BR13" s="258"/>
    </row>
    <row r="14" spans="1:70" ht="15.75" thickBot="1">
      <c r="A14" s="778"/>
      <c r="B14" s="782"/>
      <c r="C14" s="263" t="s">
        <v>34</v>
      </c>
      <c r="D14" s="264">
        <f t="shared" si="0"/>
        <v>2400000</v>
      </c>
      <c r="E14" s="265">
        <f t="shared" si="1"/>
        <v>2400000</v>
      </c>
      <c r="F14" s="266">
        <f t="shared" si="2"/>
        <v>0</v>
      </c>
      <c r="G14" s="543">
        <v>150000</v>
      </c>
      <c r="H14" s="544">
        <v>150000</v>
      </c>
      <c r="I14" s="267">
        <f t="shared" si="3"/>
        <v>0</v>
      </c>
      <c r="J14" s="543">
        <f t="shared" si="4"/>
        <v>2250000</v>
      </c>
      <c r="K14" s="544">
        <f t="shared" si="5"/>
        <v>2250000</v>
      </c>
      <c r="L14" s="267">
        <f t="shared" si="6"/>
        <v>0</v>
      </c>
      <c r="M14" s="543"/>
      <c r="N14" s="544"/>
      <c r="O14" s="267">
        <f t="shared" si="7"/>
        <v>0</v>
      </c>
      <c r="P14" s="543"/>
      <c r="Q14" s="544"/>
      <c r="R14" s="267">
        <f t="shared" si="8"/>
        <v>0</v>
      </c>
      <c r="S14" s="543"/>
      <c r="T14" s="544"/>
      <c r="U14" s="267">
        <f t="shared" si="9"/>
        <v>0</v>
      </c>
      <c r="V14" s="543"/>
      <c r="W14" s="544"/>
      <c r="X14" s="267">
        <f t="shared" si="10"/>
        <v>0</v>
      </c>
      <c r="Y14" s="543"/>
      <c r="Z14" s="544"/>
      <c r="AA14" s="267">
        <f t="shared" si="11"/>
        <v>0</v>
      </c>
      <c r="AB14" s="543"/>
      <c r="AC14" s="544"/>
      <c r="AD14" s="267">
        <f t="shared" si="12"/>
        <v>0</v>
      </c>
      <c r="AE14" s="543"/>
      <c r="AF14" s="544"/>
      <c r="AG14" s="267">
        <f t="shared" si="13"/>
        <v>0</v>
      </c>
      <c r="AH14" s="543"/>
      <c r="AI14" s="544"/>
      <c r="AJ14" s="267">
        <f t="shared" si="14"/>
        <v>0</v>
      </c>
      <c r="AK14" s="543"/>
      <c r="AL14" s="544"/>
      <c r="AM14" s="267">
        <f t="shared" si="15"/>
        <v>0</v>
      </c>
      <c r="AN14" s="543"/>
      <c r="AO14" s="544"/>
      <c r="AP14" s="267">
        <f t="shared" si="16"/>
        <v>0</v>
      </c>
      <c r="AQ14" s="543"/>
      <c r="AR14" s="544"/>
      <c r="AS14" s="267">
        <f t="shared" si="17"/>
        <v>0</v>
      </c>
      <c r="AT14" s="543"/>
      <c r="AU14" s="544"/>
      <c r="AV14" s="267">
        <f t="shared" si="18"/>
        <v>0</v>
      </c>
      <c r="AW14" s="543"/>
      <c r="AX14" s="544"/>
      <c r="AY14" s="267">
        <f t="shared" si="19"/>
        <v>0</v>
      </c>
      <c r="AZ14" s="543"/>
      <c r="BA14" s="544"/>
      <c r="BB14" s="267">
        <f t="shared" si="20"/>
        <v>0</v>
      </c>
      <c r="BC14" s="543"/>
      <c r="BD14" s="544"/>
      <c r="BE14" s="267">
        <f t="shared" si="21"/>
        <v>0</v>
      </c>
      <c r="BF14" s="543"/>
      <c r="BG14" s="544"/>
      <c r="BH14" s="267">
        <f t="shared" si="22"/>
        <v>0</v>
      </c>
      <c r="BI14" s="543"/>
      <c r="BJ14" s="544"/>
      <c r="BK14" s="267">
        <f t="shared" si="23"/>
        <v>0</v>
      </c>
      <c r="BL14" s="543"/>
      <c r="BM14" s="544"/>
      <c r="BN14" s="267">
        <f t="shared" si="24"/>
        <v>0</v>
      </c>
      <c r="BO14" s="543"/>
      <c r="BP14" s="544"/>
      <c r="BQ14" s="267">
        <f t="shared" si="25"/>
        <v>0</v>
      </c>
      <c r="BR14" s="258"/>
    </row>
    <row r="15" spans="1:70">
      <c r="A15" s="776" t="s">
        <v>148</v>
      </c>
      <c r="B15" s="780" t="s">
        <v>13</v>
      </c>
      <c r="C15" s="251" t="s">
        <v>25</v>
      </c>
      <c r="D15" s="268"/>
      <c r="E15" s="269"/>
      <c r="F15" s="270"/>
      <c r="G15" s="545"/>
      <c r="H15" s="546"/>
      <c r="I15" s="271">
        <f t="shared" si="3"/>
        <v>0</v>
      </c>
      <c r="J15" s="545"/>
      <c r="K15" s="546"/>
      <c r="L15" s="271">
        <f t="shared" si="6"/>
        <v>0</v>
      </c>
      <c r="M15" s="545"/>
      <c r="N15" s="546"/>
      <c r="O15" s="271">
        <f t="shared" si="7"/>
        <v>0</v>
      </c>
      <c r="P15" s="545"/>
      <c r="Q15" s="546"/>
      <c r="R15" s="271">
        <f t="shared" si="8"/>
        <v>0</v>
      </c>
      <c r="S15" s="545"/>
      <c r="T15" s="546"/>
      <c r="U15" s="271">
        <f t="shared" si="9"/>
        <v>0</v>
      </c>
      <c r="V15" s="545"/>
      <c r="W15" s="546"/>
      <c r="X15" s="271">
        <f t="shared" si="10"/>
        <v>0</v>
      </c>
      <c r="Y15" s="545"/>
      <c r="Z15" s="546"/>
      <c r="AA15" s="271">
        <f t="shared" si="11"/>
        <v>0</v>
      </c>
      <c r="AB15" s="545"/>
      <c r="AC15" s="546"/>
      <c r="AD15" s="271">
        <f t="shared" si="12"/>
        <v>0</v>
      </c>
      <c r="AE15" s="545"/>
      <c r="AF15" s="546"/>
      <c r="AG15" s="271">
        <f t="shared" si="13"/>
        <v>0</v>
      </c>
      <c r="AH15" s="545"/>
      <c r="AI15" s="546"/>
      <c r="AJ15" s="271">
        <f t="shared" si="14"/>
        <v>0</v>
      </c>
      <c r="AK15" s="545"/>
      <c r="AL15" s="546"/>
      <c r="AM15" s="271">
        <f t="shared" si="15"/>
        <v>0</v>
      </c>
      <c r="AN15" s="545"/>
      <c r="AO15" s="546"/>
      <c r="AP15" s="271">
        <f t="shared" si="16"/>
        <v>0</v>
      </c>
      <c r="AQ15" s="545"/>
      <c r="AR15" s="546"/>
      <c r="AS15" s="271">
        <f t="shared" si="17"/>
        <v>0</v>
      </c>
      <c r="AT15" s="545"/>
      <c r="AU15" s="546"/>
      <c r="AV15" s="271">
        <f t="shared" si="18"/>
        <v>0</v>
      </c>
      <c r="AW15" s="545"/>
      <c r="AX15" s="546"/>
      <c r="AY15" s="271">
        <f t="shared" si="19"/>
        <v>0</v>
      </c>
      <c r="AZ15" s="545"/>
      <c r="BA15" s="546"/>
      <c r="BB15" s="271">
        <f t="shared" si="20"/>
        <v>0</v>
      </c>
      <c r="BC15" s="545"/>
      <c r="BD15" s="546"/>
      <c r="BE15" s="271">
        <f t="shared" si="21"/>
        <v>0</v>
      </c>
      <c r="BF15" s="545"/>
      <c r="BG15" s="546"/>
      <c r="BH15" s="271">
        <f t="shared" si="22"/>
        <v>0</v>
      </c>
      <c r="BI15" s="545"/>
      <c r="BJ15" s="546"/>
      <c r="BK15" s="271">
        <f t="shared" si="23"/>
        <v>0</v>
      </c>
      <c r="BL15" s="545"/>
      <c r="BM15" s="546"/>
      <c r="BN15" s="271">
        <f t="shared" si="24"/>
        <v>0</v>
      </c>
      <c r="BO15" s="545"/>
      <c r="BP15" s="546"/>
      <c r="BQ15" s="271">
        <f t="shared" si="25"/>
        <v>0</v>
      </c>
      <c r="BR15" s="258"/>
    </row>
    <row r="16" spans="1:70">
      <c r="A16" s="777"/>
      <c r="B16" s="781"/>
      <c r="C16" s="24" t="s">
        <v>26</v>
      </c>
      <c r="D16" s="272"/>
      <c r="E16" s="273"/>
      <c r="F16" s="274"/>
      <c r="G16" s="547"/>
      <c r="H16" s="548"/>
      <c r="I16" s="275">
        <f t="shared" si="3"/>
        <v>0</v>
      </c>
      <c r="J16" s="547"/>
      <c r="K16" s="548"/>
      <c r="L16" s="275">
        <f t="shared" si="6"/>
        <v>0</v>
      </c>
      <c r="M16" s="547"/>
      <c r="N16" s="548"/>
      <c r="O16" s="275">
        <f t="shared" si="7"/>
        <v>0</v>
      </c>
      <c r="P16" s="547"/>
      <c r="Q16" s="548"/>
      <c r="R16" s="275">
        <f t="shared" si="8"/>
        <v>0</v>
      </c>
      <c r="S16" s="547"/>
      <c r="T16" s="548"/>
      <c r="U16" s="275">
        <f t="shared" si="9"/>
        <v>0</v>
      </c>
      <c r="V16" s="547"/>
      <c r="W16" s="548"/>
      <c r="X16" s="275">
        <f t="shared" si="10"/>
        <v>0</v>
      </c>
      <c r="Y16" s="547"/>
      <c r="Z16" s="548"/>
      <c r="AA16" s="275">
        <f t="shared" si="11"/>
        <v>0</v>
      </c>
      <c r="AB16" s="547"/>
      <c r="AC16" s="548"/>
      <c r="AD16" s="275">
        <f t="shared" si="12"/>
        <v>0</v>
      </c>
      <c r="AE16" s="547"/>
      <c r="AF16" s="548"/>
      <c r="AG16" s="275">
        <f t="shared" si="13"/>
        <v>0</v>
      </c>
      <c r="AH16" s="547"/>
      <c r="AI16" s="548"/>
      <c r="AJ16" s="275">
        <f t="shared" si="14"/>
        <v>0</v>
      </c>
      <c r="AK16" s="547"/>
      <c r="AL16" s="548"/>
      <c r="AM16" s="275">
        <f t="shared" si="15"/>
        <v>0</v>
      </c>
      <c r="AN16" s="547"/>
      <c r="AO16" s="548"/>
      <c r="AP16" s="275">
        <f t="shared" si="16"/>
        <v>0</v>
      </c>
      <c r="AQ16" s="547"/>
      <c r="AR16" s="548"/>
      <c r="AS16" s="275">
        <f t="shared" si="17"/>
        <v>0</v>
      </c>
      <c r="AT16" s="547"/>
      <c r="AU16" s="548"/>
      <c r="AV16" s="275">
        <f t="shared" si="18"/>
        <v>0</v>
      </c>
      <c r="AW16" s="547"/>
      <c r="AX16" s="548"/>
      <c r="AY16" s="275">
        <f t="shared" si="19"/>
        <v>0</v>
      </c>
      <c r="AZ16" s="547"/>
      <c r="BA16" s="548"/>
      <c r="BB16" s="275">
        <f t="shared" si="20"/>
        <v>0</v>
      </c>
      <c r="BC16" s="547"/>
      <c r="BD16" s="548"/>
      <c r="BE16" s="275">
        <f t="shared" si="21"/>
        <v>0</v>
      </c>
      <c r="BF16" s="547"/>
      <c r="BG16" s="548"/>
      <c r="BH16" s="275">
        <f t="shared" si="22"/>
        <v>0</v>
      </c>
      <c r="BI16" s="547"/>
      <c r="BJ16" s="548"/>
      <c r="BK16" s="275">
        <f t="shared" si="23"/>
        <v>0</v>
      </c>
      <c r="BL16" s="547"/>
      <c r="BM16" s="548"/>
      <c r="BN16" s="275">
        <f t="shared" si="24"/>
        <v>0</v>
      </c>
      <c r="BO16" s="547"/>
      <c r="BP16" s="548"/>
      <c r="BQ16" s="275">
        <f t="shared" si="25"/>
        <v>0</v>
      </c>
      <c r="BR16" s="258"/>
    </row>
    <row r="17" spans="1:70">
      <c r="A17" s="777"/>
      <c r="B17" s="781"/>
      <c r="C17" s="24" t="s">
        <v>27</v>
      </c>
      <c r="D17" s="272"/>
      <c r="E17" s="273"/>
      <c r="F17" s="274"/>
      <c r="G17" s="547"/>
      <c r="H17" s="548"/>
      <c r="I17" s="275">
        <f t="shared" si="3"/>
        <v>0</v>
      </c>
      <c r="J17" s="547"/>
      <c r="K17" s="548"/>
      <c r="L17" s="275">
        <f t="shared" si="6"/>
        <v>0</v>
      </c>
      <c r="M17" s="547"/>
      <c r="N17" s="548"/>
      <c r="O17" s="275">
        <f t="shared" si="7"/>
        <v>0</v>
      </c>
      <c r="P17" s="547"/>
      <c r="Q17" s="548"/>
      <c r="R17" s="275">
        <f t="shared" si="8"/>
        <v>0</v>
      </c>
      <c r="S17" s="547"/>
      <c r="T17" s="548"/>
      <c r="U17" s="275">
        <f t="shared" si="9"/>
        <v>0</v>
      </c>
      <c r="V17" s="547"/>
      <c r="W17" s="548"/>
      <c r="X17" s="275">
        <f t="shared" si="10"/>
        <v>0</v>
      </c>
      <c r="Y17" s="547"/>
      <c r="Z17" s="548"/>
      <c r="AA17" s="275">
        <f t="shared" si="11"/>
        <v>0</v>
      </c>
      <c r="AB17" s="547"/>
      <c r="AC17" s="548"/>
      <c r="AD17" s="275">
        <f t="shared" si="12"/>
        <v>0</v>
      </c>
      <c r="AE17" s="547"/>
      <c r="AF17" s="548"/>
      <c r="AG17" s="275">
        <f t="shared" si="13"/>
        <v>0</v>
      </c>
      <c r="AH17" s="547"/>
      <c r="AI17" s="548"/>
      <c r="AJ17" s="275">
        <f t="shared" si="14"/>
        <v>0</v>
      </c>
      <c r="AK17" s="547"/>
      <c r="AL17" s="548"/>
      <c r="AM17" s="275">
        <f t="shared" si="15"/>
        <v>0</v>
      </c>
      <c r="AN17" s="547"/>
      <c r="AO17" s="548"/>
      <c r="AP17" s="275">
        <f t="shared" si="16"/>
        <v>0</v>
      </c>
      <c r="AQ17" s="547"/>
      <c r="AR17" s="548"/>
      <c r="AS17" s="275">
        <f t="shared" si="17"/>
        <v>0</v>
      </c>
      <c r="AT17" s="547"/>
      <c r="AU17" s="548"/>
      <c r="AV17" s="275">
        <f t="shared" si="18"/>
        <v>0</v>
      </c>
      <c r="AW17" s="547"/>
      <c r="AX17" s="548"/>
      <c r="AY17" s="275">
        <f t="shared" si="19"/>
        <v>0</v>
      </c>
      <c r="AZ17" s="547"/>
      <c r="BA17" s="548"/>
      <c r="BB17" s="275">
        <f t="shared" si="20"/>
        <v>0</v>
      </c>
      <c r="BC17" s="547"/>
      <c r="BD17" s="548"/>
      <c r="BE17" s="275">
        <f t="shared" si="21"/>
        <v>0</v>
      </c>
      <c r="BF17" s="547"/>
      <c r="BG17" s="548"/>
      <c r="BH17" s="275">
        <f t="shared" si="22"/>
        <v>0</v>
      </c>
      <c r="BI17" s="547"/>
      <c r="BJ17" s="548"/>
      <c r="BK17" s="275">
        <f t="shared" si="23"/>
        <v>0</v>
      </c>
      <c r="BL17" s="547"/>
      <c r="BM17" s="548"/>
      <c r="BN17" s="275">
        <f t="shared" si="24"/>
        <v>0</v>
      </c>
      <c r="BO17" s="547"/>
      <c r="BP17" s="548"/>
      <c r="BQ17" s="275">
        <f t="shared" si="25"/>
        <v>0</v>
      </c>
      <c r="BR17" s="258"/>
    </row>
    <row r="18" spans="1:70">
      <c r="A18" s="777"/>
      <c r="B18" s="781"/>
      <c r="C18" s="24" t="s">
        <v>28</v>
      </c>
      <c r="D18" s="272"/>
      <c r="E18" s="273"/>
      <c r="F18" s="274"/>
      <c r="G18" s="547"/>
      <c r="H18" s="548"/>
      <c r="I18" s="275">
        <f t="shared" si="3"/>
        <v>0</v>
      </c>
      <c r="J18" s="547"/>
      <c r="K18" s="548"/>
      <c r="L18" s="275">
        <f t="shared" si="6"/>
        <v>0</v>
      </c>
      <c r="M18" s="547"/>
      <c r="N18" s="548"/>
      <c r="O18" s="275">
        <f t="shared" si="7"/>
        <v>0</v>
      </c>
      <c r="P18" s="547"/>
      <c r="Q18" s="548"/>
      <c r="R18" s="275">
        <f t="shared" si="8"/>
        <v>0</v>
      </c>
      <c r="S18" s="547"/>
      <c r="T18" s="548"/>
      <c r="U18" s="275">
        <f t="shared" si="9"/>
        <v>0</v>
      </c>
      <c r="V18" s="547"/>
      <c r="W18" s="548"/>
      <c r="X18" s="275">
        <f t="shared" si="10"/>
        <v>0</v>
      </c>
      <c r="Y18" s="547"/>
      <c r="Z18" s="548"/>
      <c r="AA18" s="275">
        <f t="shared" si="11"/>
        <v>0</v>
      </c>
      <c r="AB18" s="547"/>
      <c r="AC18" s="548"/>
      <c r="AD18" s="275">
        <f t="shared" si="12"/>
        <v>0</v>
      </c>
      <c r="AE18" s="547"/>
      <c r="AF18" s="548"/>
      <c r="AG18" s="275">
        <f t="shared" si="13"/>
        <v>0</v>
      </c>
      <c r="AH18" s="547"/>
      <c r="AI18" s="548"/>
      <c r="AJ18" s="275">
        <f t="shared" si="14"/>
        <v>0</v>
      </c>
      <c r="AK18" s="547"/>
      <c r="AL18" s="548"/>
      <c r="AM18" s="275">
        <f t="shared" si="15"/>
        <v>0</v>
      </c>
      <c r="AN18" s="547"/>
      <c r="AO18" s="548"/>
      <c r="AP18" s="275">
        <f t="shared" si="16"/>
        <v>0</v>
      </c>
      <c r="AQ18" s="547"/>
      <c r="AR18" s="548"/>
      <c r="AS18" s="275">
        <f t="shared" si="17"/>
        <v>0</v>
      </c>
      <c r="AT18" s="547"/>
      <c r="AU18" s="548"/>
      <c r="AV18" s="275">
        <f t="shared" si="18"/>
        <v>0</v>
      </c>
      <c r="AW18" s="547"/>
      <c r="AX18" s="548"/>
      <c r="AY18" s="275">
        <f t="shared" si="19"/>
        <v>0</v>
      </c>
      <c r="AZ18" s="547"/>
      <c r="BA18" s="548"/>
      <c r="BB18" s="275">
        <f t="shared" si="20"/>
        <v>0</v>
      </c>
      <c r="BC18" s="547"/>
      <c r="BD18" s="548"/>
      <c r="BE18" s="275">
        <f t="shared" si="21"/>
        <v>0</v>
      </c>
      <c r="BF18" s="547"/>
      <c r="BG18" s="548"/>
      <c r="BH18" s="275">
        <f t="shared" si="22"/>
        <v>0</v>
      </c>
      <c r="BI18" s="547"/>
      <c r="BJ18" s="548"/>
      <c r="BK18" s="275">
        <f t="shared" si="23"/>
        <v>0</v>
      </c>
      <c r="BL18" s="547"/>
      <c r="BM18" s="548"/>
      <c r="BN18" s="275">
        <f t="shared" si="24"/>
        <v>0</v>
      </c>
      <c r="BO18" s="547"/>
      <c r="BP18" s="548"/>
      <c r="BQ18" s="275">
        <f t="shared" si="25"/>
        <v>0</v>
      </c>
      <c r="BR18" s="258"/>
    </row>
    <row r="19" spans="1:70">
      <c r="A19" s="777"/>
      <c r="B19" s="781"/>
      <c r="C19" s="24" t="s">
        <v>29</v>
      </c>
      <c r="D19" s="272"/>
      <c r="E19" s="273"/>
      <c r="F19" s="274"/>
      <c r="G19" s="547"/>
      <c r="H19" s="548"/>
      <c r="I19" s="275">
        <f t="shared" si="3"/>
        <v>0</v>
      </c>
      <c r="J19" s="547"/>
      <c r="K19" s="548"/>
      <c r="L19" s="275">
        <f t="shared" si="6"/>
        <v>0</v>
      </c>
      <c r="M19" s="547"/>
      <c r="N19" s="548"/>
      <c r="O19" s="275">
        <f t="shared" si="7"/>
        <v>0</v>
      </c>
      <c r="P19" s="547"/>
      <c r="Q19" s="548"/>
      <c r="R19" s="275">
        <f t="shared" si="8"/>
        <v>0</v>
      </c>
      <c r="S19" s="547"/>
      <c r="T19" s="548"/>
      <c r="U19" s="275">
        <f t="shared" si="9"/>
        <v>0</v>
      </c>
      <c r="V19" s="547"/>
      <c r="W19" s="548"/>
      <c r="X19" s="275">
        <f t="shared" si="10"/>
        <v>0</v>
      </c>
      <c r="Y19" s="547"/>
      <c r="Z19" s="548"/>
      <c r="AA19" s="275">
        <f t="shared" si="11"/>
        <v>0</v>
      </c>
      <c r="AB19" s="547"/>
      <c r="AC19" s="548"/>
      <c r="AD19" s="275">
        <f t="shared" si="12"/>
        <v>0</v>
      </c>
      <c r="AE19" s="547"/>
      <c r="AF19" s="548"/>
      <c r="AG19" s="275">
        <f t="shared" si="13"/>
        <v>0</v>
      </c>
      <c r="AH19" s="547"/>
      <c r="AI19" s="548"/>
      <c r="AJ19" s="275">
        <f t="shared" si="14"/>
        <v>0</v>
      </c>
      <c r="AK19" s="547"/>
      <c r="AL19" s="548"/>
      <c r="AM19" s="275">
        <f t="shared" si="15"/>
        <v>0</v>
      </c>
      <c r="AN19" s="547"/>
      <c r="AO19" s="548"/>
      <c r="AP19" s="275">
        <f t="shared" si="16"/>
        <v>0</v>
      </c>
      <c r="AQ19" s="547"/>
      <c r="AR19" s="548"/>
      <c r="AS19" s="275">
        <f t="shared" si="17"/>
        <v>0</v>
      </c>
      <c r="AT19" s="547"/>
      <c r="AU19" s="548"/>
      <c r="AV19" s="275">
        <f t="shared" si="18"/>
        <v>0</v>
      </c>
      <c r="AW19" s="547"/>
      <c r="AX19" s="548"/>
      <c r="AY19" s="275">
        <f t="shared" si="19"/>
        <v>0</v>
      </c>
      <c r="AZ19" s="547"/>
      <c r="BA19" s="548"/>
      <c r="BB19" s="275">
        <f t="shared" si="20"/>
        <v>0</v>
      </c>
      <c r="BC19" s="547"/>
      <c r="BD19" s="548"/>
      <c r="BE19" s="275">
        <f t="shared" si="21"/>
        <v>0</v>
      </c>
      <c r="BF19" s="547"/>
      <c r="BG19" s="548"/>
      <c r="BH19" s="275">
        <f t="shared" si="22"/>
        <v>0</v>
      </c>
      <c r="BI19" s="547"/>
      <c r="BJ19" s="548"/>
      <c r="BK19" s="275">
        <f t="shared" si="23"/>
        <v>0</v>
      </c>
      <c r="BL19" s="547"/>
      <c r="BM19" s="548"/>
      <c r="BN19" s="275">
        <f t="shared" si="24"/>
        <v>0</v>
      </c>
      <c r="BO19" s="547"/>
      <c r="BP19" s="548"/>
      <c r="BQ19" s="275">
        <f t="shared" si="25"/>
        <v>0</v>
      </c>
      <c r="BR19" s="258"/>
    </row>
    <row r="20" spans="1:70">
      <c r="A20" s="777"/>
      <c r="B20" s="781"/>
      <c r="C20" s="24" t="s">
        <v>30</v>
      </c>
      <c r="D20" s="272"/>
      <c r="E20" s="273"/>
      <c r="F20" s="274"/>
      <c r="G20" s="547"/>
      <c r="H20" s="548"/>
      <c r="I20" s="275">
        <f t="shared" si="3"/>
        <v>0</v>
      </c>
      <c r="J20" s="547"/>
      <c r="K20" s="548"/>
      <c r="L20" s="275">
        <f t="shared" si="6"/>
        <v>0</v>
      </c>
      <c r="M20" s="547"/>
      <c r="N20" s="548"/>
      <c r="O20" s="275">
        <f t="shared" si="7"/>
        <v>0</v>
      </c>
      <c r="P20" s="547"/>
      <c r="Q20" s="548"/>
      <c r="R20" s="275">
        <f t="shared" si="8"/>
        <v>0</v>
      </c>
      <c r="S20" s="547"/>
      <c r="T20" s="548"/>
      <c r="U20" s="275">
        <f t="shared" si="9"/>
        <v>0</v>
      </c>
      <c r="V20" s="547"/>
      <c r="W20" s="548"/>
      <c r="X20" s="275">
        <f t="shared" si="10"/>
        <v>0</v>
      </c>
      <c r="Y20" s="547"/>
      <c r="Z20" s="548"/>
      <c r="AA20" s="275">
        <f t="shared" si="11"/>
        <v>0</v>
      </c>
      <c r="AB20" s="547"/>
      <c r="AC20" s="548"/>
      <c r="AD20" s="275">
        <f t="shared" si="12"/>
        <v>0</v>
      </c>
      <c r="AE20" s="547"/>
      <c r="AF20" s="548"/>
      <c r="AG20" s="275">
        <f t="shared" si="13"/>
        <v>0</v>
      </c>
      <c r="AH20" s="547"/>
      <c r="AI20" s="548"/>
      <c r="AJ20" s="275">
        <f t="shared" si="14"/>
        <v>0</v>
      </c>
      <c r="AK20" s="547"/>
      <c r="AL20" s="548"/>
      <c r="AM20" s="275">
        <f t="shared" si="15"/>
        <v>0</v>
      </c>
      <c r="AN20" s="547"/>
      <c r="AO20" s="548"/>
      <c r="AP20" s="275">
        <f t="shared" si="16"/>
        <v>0</v>
      </c>
      <c r="AQ20" s="547"/>
      <c r="AR20" s="548"/>
      <c r="AS20" s="275">
        <f t="shared" si="17"/>
        <v>0</v>
      </c>
      <c r="AT20" s="547"/>
      <c r="AU20" s="548"/>
      <c r="AV20" s="275">
        <f t="shared" si="18"/>
        <v>0</v>
      </c>
      <c r="AW20" s="547"/>
      <c r="AX20" s="548"/>
      <c r="AY20" s="275">
        <f t="shared" si="19"/>
        <v>0</v>
      </c>
      <c r="AZ20" s="547"/>
      <c r="BA20" s="548"/>
      <c r="BB20" s="275">
        <f t="shared" si="20"/>
        <v>0</v>
      </c>
      <c r="BC20" s="547"/>
      <c r="BD20" s="548"/>
      <c r="BE20" s="275">
        <f t="shared" si="21"/>
        <v>0</v>
      </c>
      <c r="BF20" s="547"/>
      <c r="BG20" s="548"/>
      <c r="BH20" s="275">
        <f t="shared" si="22"/>
        <v>0</v>
      </c>
      <c r="BI20" s="547"/>
      <c r="BJ20" s="548"/>
      <c r="BK20" s="275">
        <f t="shared" si="23"/>
        <v>0</v>
      </c>
      <c r="BL20" s="547"/>
      <c r="BM20" s="548"/>
      <c r="BN20" s="275">
        <f t="shared" si="24"/>
        <v>0</v>
      </c>
      <c r="BO20" s="547"/>
      <c r="BP20" s="548"/>
      <c r="BQ20" s="275">
        <f t="shared" si="25"/>
        <v>0</v>
      </c>
      <c r="BR20" s="258"/>
    </row>
    <row r="21" spans="1:70">
      <c r="A21" s="777"/>
      <c r="B21" s="781"/>
      <c r="C21" s="24" t="s">
        <v>31</v>
      </c>
      <c r="D21" s="272"/>
      <c r="E21" s="273"/>
      <c r="F21" s="274"/>
      <c r="G21" s="547"/>
      <c r="H21" s="548"/>
      <c r="I21" s="275">
        <f t="shared" si="3"/>
        <v>0</v>
      </c>
      <c r="J21" s="547"/>
      <c r="K21" s="548"/>
      <c r="L21" s="275">
        <f t="shared" si="6"/>
        <v>0</v>
      </c>
      <c r="M21" s="547"/>
      <c r="N21" s="548"/>
      <c r="O21" s="275">
        <f t="shared" si="7"/>
        <v>0</v>
      </c>
      <c r="P21" s="547"/>
      <c r="Q21" s="548"/>
      <c r="R21" s="275">
        <f t="shared" si="8"/>
        <v>0</v>
      </c>
      <c r="S21" s="547"/>
      <c r="T21" s="548"/>
      <c r="U21" s="275">
        <f t="shared" si="9"/>
        <v>0</v>
      </c>
      <c r="V21" s="547"/>
      <c r="W21" s="548"/>
      <c r="X21" s="275">
        <f t="shared" si="10"/>
        <v>0</v>
      </c>
      <c r="Y21" s="547"/>
      <c r="Z21" s="548"/>
      <c r="AA21" s="275">
        <f t="shared" si="11"/>
        <v>0</v>
      </c>
      <c r="AB21" s="547"/>
      <c r="AC21" s="548"/>
      <c r="AD21" s="275">
        <f t="shared" si="12"/>
        <v>0</v>
      </c>
      <c r="AE21" s="547"/>
      <c r="AF21" s="548"/>
      <c r="AG21" s="275">
        <f t="shared" si="13"/>
        <v>0</v>
      </c>
      <c r="AH21" s="547"/>
      <c r="AI21" s="548"/>
      <c r="AJ21" s="275">
        <f t="shared" si="14"/>
        <v>0</v>
      </c>
      <c r="AK21" s="547"/>
      <c r="AL21" s="548"/>
      <c r="AM21" s="275">
        <f t="shared" si="15"/>
        <v>0</v>
      </c>
      <c r="AN21" s="547"/>
      <c r="AO21" s="548"/>
      <c r="AP21" s="275">
        <f t="shared" si="16"/>
        <v>0</v>
      </c>
      <c r="AQ21" s="547"/>
      <c r="AR21" s="548"/>
      <c r="AS21" s="275">
        <f t="shared" si="17"/>
        <v>0</v>
      </c>
      <c r="AT21" s="547"/>
      <c r="AU21" s="548"/>
      <c r="AV21" s="275">
        <f t="shared" si="18"/>
        <v>0</v>
      </c>
      <c r="AW21" s="547"/>
      <c r="AX21" s="548"/>
      <c r="AY21" s="275">
        <f t="shared" si="19"/>
        <v>0</v>
      </c>
      <c r="AZ21" s="547"/>
      <c r="BA21" s="548"/>
      <c r="BB21" s="275">
        <f t="shared" si="20"/>
        <v>0</v>
      </c>
      <c r="BC21" s="547"/>
      <c r="BD21" s="548"/>
      <c r="BE21" s="275">
        <f t="shared" si="21"/>
        <v>0</v>
      </c>
      <c r="BF21" s="547"/>
      <c r="BG21" s="548"/>
      <c r="BH21" s="275">
        <f t="shared" si="22"/>
        <v>0</v>
      </c>
      <c r="BI21" s="547"/>
      <c r="BJ21" s="548"/>
      <c r="BK21" s="275">
        <f t="shared" si="23"/>
        <v>0</v>
      </c>
      <c r="BL21" s="547"/>
      <c r="BM21" s="548"/>
      <c r="BN21" s="275">
        <f t="shared" si="24"/>
        <v>0</v>
      </c>
      <c r="BO21" s="547"/>
      <c r="BP21" s="548"/>
      <c r="BQ21" s="275">
        <f t="shared" si="25"/>
        <v>0</v>
      </c>
      <c r="BR21" s="258"/>
    </row>
    <row r="22" spans="1:70">
      <c r="A22" s="777"/>
      <c r="B22" s="781"/>
      <c r="C22" s="24" t="s">
        <v>32</v>
      </c>
      <c r="D22" s="272"/>
      <c r="E22" s="273"/>
      <c r="F22" s="274"/>
      <c r="G22" s="547"/>
      <c r="H22" s="548"/>
      <c r="I22" s="275">
        <f t="shared" si="3"/>
        <v>0</v>
      </c>
      <c r="J22" s="547"/>
      <c r="K22" s="548"/>
      <c r="L22" s="275">
        <f t="shared" si="6"/>
        <v>0</v>
      </c>
      <c r="M22" s="547"/>
      <c r="N22" s="548"/>
      <c r="O22" s="275">
        <f t="shared" si="7"/>
        <v>0</v>
      </c>
      <c r="P22" s="547"/>
      <c r="Q22" s="548"/>
      <c r="R22" s="275">
        <f t="shared" si="8"/>
        <v>0</v>
      </c>
      <c r="S22" s="547"/>
      <c r="T22" s="548"/>
      <c r="U22" s="275">
        <f t="shared" si="9"/>
        <v>0</v>
      </c>
      <c r="V22" s="547"/>
      <c r="W22" s="548"/>
      <c r="X22" s="275">
        <f t="shared" si="10"/>
        <v>0</v>
      </c>
      <c r="Y22" s="547"/>
      <c r="Z22" s="548"/>
      <c r="AA22" s="275">
        <f t="shared" si="11"/>
        <v>0</v>
      </c>
      <c r="AB22" s="547"/>
      <c r="AC22" s="548"/>
      <c r="AD22" s="275">
        <f t="shared" si="12"/>
        <v>0</v>
      </c>
      <c r="AE22" s="547"/>
      <c r="AF22" s="548"/>
      <c r="AG22" s="275">
        <f t="shared" si="13"/>
        <v>0</v>
      </c>
      <c r="AH22" s="547"/>
      <c r="AI22" s="548"/>
      <c r="AJ22" s="275">
        <f t="shared" si="14"/>
        <v>0</v>
      </c>
      <c r="AK22" s="547"/>
      <c r="AL22" s="548"/>
      <c r="AM22" s="275">
        <f t="shared" si="15"/>
        <v>0</v>
      </c>
      <c r="AN22" s="547"/>
      <c r="AO22" s="548"/>
      <c r="AP22" s="275">
        <f t="shared" si="16"/>
        <v>0</v>
      </c>
      <c r="AQ22" s="547"/>
      <c r="AR22" s="548"/>
      <c r="AS22" s="275">
        <f t="shared" si="17"/>
        <v>0</v>
      </c>
      <c r="AT22" s="547"/>
      <c r="AU22" s="548"/>
      <c r="AV22" s="275">
        <f t="shared" si="18"/>
        <v>0</v>
      </c>
      <c r="AW22" s="547"/>
      <c r="AX22" s="548"/>
      <c r="AY22" s="275">
        <f t="shared" si="19"/>
        <v>0</v>
      </c>
      <c r="AZ22" s="547"/>
      <c r="BA22" s="548"/>
      <c r="BB22" s="275">
        <f t="shared" si="20"/>
        <v>0</v>
      </c>
      <c r="BC22" s="547"/>
      <c r="BD22" s="548"/>
      <c r="BE22" s="275">
        <f t="shared" si="21"/>
        <v>0</v>
      </c>
      <c r="BF22" s="547"/>
      <c r="BG22" s="548"/>
      <c r="BH22" s="275">
        <f t="shared" si="22"/>
        <v>0</v>
      </c>
      <c r="BI22" s="547"/>
      <c r="BJ22" s="548"/>
      <c r="BK22" s="275">
        <f t="shared" si="23"/>
        <v>0</v>
      </c>
      <c r="BL22" s="547"/>
      <c r="BM22" s="548"/>
      <c r="BN22" s="275">
        <f t="shared" si="24"/>
        <v>0</v>
      </c>
      <c r="BO22" s="547"/>
      <c r="BP22" s="548"/>
      <c r="BQ22" s="275">
        <f t="shared" si="25"/>
        <v>0</v>
      </c>
      <c r="BR22" s="258"/>
    </row>
    <row r="23" spans="1:70">
      <c r="A23" s="777"/>
      <c r="B23" s="781"/>
      <c r="C23" s="24" t="s">
        <v>33</v>
      </c>
      <c r="D23" s="272"/>
      <c r="E23" s="273"/>
      <c r="F23" s="274"/>
      <c r="G23" s="547"/>
      <c r="H23" s="548"/>
      <c r="I23" s="275">
        <f t="shared" si="3"/>
        <v>0</v>
      </c>
      <c r="J23" s="547"/>
      <c r="K23" s="548"/>
      <c r="L23" s="275">
        <f t="shared" si="6"/>
        <v>0</v>
      </c>
      <c r="M23" s="547"/>
      <c r="N23" s="548"/>
      <c r="O23" s="275">
        <f t="shared" si="7"/>
        <v>0</v>
      </c>
      <c r="P23" s="547"/>
      <c r="Q23" s="548"/>
      <c r="R23" s="275">
        <f t="shared" si="8"/>
        <v>0</v>
      </c>
      <c r="S23" s="547"/>
      <c r="T23" s="548"/>
      <c r="U23" s="275">
        <f t="shared" si="9"/>
        <v>0</v>
      </c>
      <c r="V23" s="547"/>
      <c r="W23" s="548"/>
      <c r="X23" s="275">
        <f t="shared" si="10"/>
        <v>0</v>
      </c>
      <c r="Y23" s="547"/>
      <c r="Z23" s="548"/>
      <c r="AA23" s="275">
        <f t="shared" si="11"/>
        <v>0</v>
      </c>
      <c r="AB23" s="547"/>
      <c r="AC23" s="548"/>
      <c r="AD23" s="275">
        <f t="shared" si="12"/>
        <v>0</v>
      </c>
      <c r="AE23" s="547"/>
      <c r="AF23" s="548"/>
      <c r="AG23" s="275">
        <f t="shared" si="13"/>
        <v>0</v>
      </c>
      <c r="AH23" s="547"/>
      <c r="AI23" s="548"/>
      <c r="AJ23" s="275">
        <f t="shared" si="14"/>
        <v>0</v>
      </c>
      <c r="AK23" s="547"/>
      <c r="AL23" s="548"/>
      <c r="AM23" s="275">
        <f t="shared" si="15"/>
        <v>0</v>
      </c>
      <c r="AN23" s="547"/>
      <c r="AO23" s="548"/>
      <c r="AP23" s="275">
        <f t="shared" si="16"/>
        <v>0</v>
      </c>
      <c r="AQ23" s="547"/>
      <c r="AR23" s="548"/>
      <c r="AS23" s="275">
        <f t="shared" si="17"/>
        <v>0</v>
      </c>
      <c r="AT23" s="547"/>
      <c r="AU23" s="548"/>
      <c r="AV23" s="275">
        <f t="shared" si="18"/>
        <v>0</v>
      </c>
      <c r="AW23" s="547"/>
      <c r="AX23" s="548"/>
      <c r="AY23" s="275">
        <f t="shared" si="19"/>
        <v>0</v>
      </c>
      <c r="AZ23" s="547"/>
      <c r="BA23" s="548"/>
      <c r="BB23" s="275">
        <f t="shared" si="20"/>
        <v>0</v>
      </c>
      <c r="BC23" s="547"/>
      <c r="BD23" s="548"/>
      <c r="BE23" s="275">
        <f t="shared" si="21"/>
        <v>0</v>
      </c>
      <c r="BF23" s="547"/>
      <c r="BG23" s="548"/>
      <c r="BH23" s="275">
        <f t="shared" si="22"/>
        <v>0</v>
      </c>
      <c r="BI23" s="547"/>
      <c r="BJ23" s="548"/>
      <c r="BK23" s="275">
        <f t="shared" si="23"/>
        <v>0</v>
      </c>
      <c r="BL23" s="547"/>
      <c r="BM23" s="548"/>
      <c r="BN23" s="275">
        <f t="shared" si="24"/>
        <v>0</v>
      </c>
      <c r="BO23" s="547"/>
      <c r="BP23" s="548"/>
      <c r="BQ23" s="275">
        <f t="shared" si="25"/>
        <v>0</v>
      </c>
      <c r="BR23" s="258"/>
    </row>
    <row r="24" spans="1:70" ht="15.75" thickBot="1">
      <c r="A24" s="778"/>
      <c r="B24" s="782"/>
      <c r="C24" s="263" t="s">
        <v>34</v>
      </c>
      <c r="D24" s="276"/>
      <c r="E24" s="277"/>
      <c r="F24" s="278"/>
      <c r="G24" s="549"/>
      <c r="H24" s="550"/>
      <c r="I24" s="279">
        <f t="shared" si="3"/>
        <v>0</v>
      </c>
      <c r="J24" s="549"/>
      <c r="K24" s="550"/>
      <c r="L24" s="279">
        <f t="shared" si="6"/>
        <v>0</v>
      </c>
      <c r="M24" s="549"/>
      <c r="N24" s="550"/>
      <c r="O24" s="279">
        <f t="shared" si="7"/>
        <v>0</v>
      </c>
      <c r="P24" s="549"/>
      <c r="Q24" s="550"/>
      <c r="R24" s="279">
        <f t="shared" si="8"/>
        <v>0</v>
      </c>
      <c r="S24" s="549"/>
      <c r="T24" s="550"/>
      <c r="U24" s="279">
        <f t="shared" si="9"/>
        <v>0</v>
      </c>
      <c r="V24" s="549"/>
      <c r="W24" s="550"/>
      <c r="X24" s="279">
        <f t="shared" si="10"/>
        <v>0</v>
      </c>
      <c r="Y24" s="549"/>
      <c r="Z24" s="550"/>
      <c r="AA24" s="279">
        <f t="shared" si="11"/>
        <v>0</v>
      </c>
      <c r="AB24" s="549"/>
      <c r="AC24" s="550"/>
      <c r="AD24" s="279">
        <f t="shared" si="12"/>
        <v>0</v>
      </c>
      <c r="AE24" s="549"/>
      <c r="AF24" s="550"/>
      <c r="AG24" s="279">
        <f t="shared" si="13"/>
        <v>0</v>
      </c>
      <c r="AH24" s="549"/>
      <c r="AI24" s="550"/>
      <c r="AJ24" s="279">
        <f t="shared" si="14"/>
        <v>0</v>
      </c>
      <c r="AK24" s="549"/>
      <c r="AL24" s="550"/>
      <c r="AM24" s="279">
        <f t="shared" si="15"/>
        <v>0</v>
      </c>
      <c r="AN24" s="549"/>
      <c r="AO24" s="550"/>
      <c r="AP24" s="279">
        <f t="shared" si="16"/>
        <v>0</v>
      </c>
      <c r="AQ24" s="549"/>
      <c r="AR24" s="550"/>
      <c r="AS24" s="279">
        <f t="shared" si="17"/>
        <v>0</v>
      </c>
      <c r="AT24" s="549"/>
      <c r="AU24" s="550"/>
      <c r="AV24" s="279">
        <f t="shared" si="18"/>
        <v>0</v>
      </c>
      <c r="AW24" s="549"/>
      <c r="AX24" s="550"/>
      <c r="AY24" s="279">
        <f t="shared" si="19"/>
        <v>0</v>
      </c>
      <c r="AZ24" s="549"/>
      <c r="BA24" s="550"/>
      <c r="BB24" s="279">
        <f t="shared" si="20"/>
        <v>0</v>
      </c>
      <c r="BC24" s="549"/>
      <c r="BD24" s="550"/>
      <c r="BE24" s="279">
        <f t="shared" si="21"/>
        <v>0</v>
      </c>
      <c r="BF24" s="549"/>
      <c r="BG24" s="550"/>
      <c r="BH24" s="279">
        <f t="shared" si="22"/>
        <v>0</v>
      </c>
      <c r="BI24" s="549"/>
      <c r="BJ24" s="550"/>
      <c r="BK24" s="279">
        <f t="shared" si="23"/>
        <v>0</v>
      </c>
      <c r="BL24" s="549"/>
      <c r="BM24" s="550"/>
      <c r="BN24" s="279">
        <f t="shared" si="24"/>
        <v>0</v>
      </c>
      <c r="BO24" s="549"/>
      <c r="BP24" s="550"/>
      <c r="BQ24" s="279">
        <f t="shared" si="25"/>
        <v>0</v>
      </c>
      <c r="BR24" s="258"/>
    </row>
    <row r="25" spans="1:70" s="281" customFormat="1" ht="14.25" customHeight="1">
      <c r="A25" s="776" t="s">
        <v>42</v>
      </c>
      <c r="B25" s="780" t="s">
        <v>13</v>
      </c>
      <c r="C25" s="251" t="s">
        <v>25</v>
      </c>
      <c r="D25" s="268"/>
      <c r="E25" s="269"/>
      <c r="F25" s="270"/>
      <c r="G25" s="545"/>
      <c r="H25" s="546"/>
      <c r="I25" s="271">
        <f>H25-G25</f>
        <v>0</v>
      </c>
      <c r="J25" s="545"/>
      <c r="K25" s="546"/>
      <c r="L25" s="271">
        <f>K25-J25</f>
        <v>0</v>
      </c>
      <c r="M25" s="545"/>
      <c r="N25" s="546"/>
      <c r="O25" s="271">
        <f>N25-M25</f>
        <v>0</v>
      </c>
      <c r="P25" s="545"/>
      <c r="Q25" s="546"/>
      <c r="R25" s="271">
        <f>Q25-P25</f>
        <v>0</v>
      </c>
      <c r="S25" s="545"/>
      <c r="T25" s="546"/>
      <c r="U25" s="271">
        <f>T25-S25</f>
        <v>0</v>
      </c>
      <c r="V25" s="545"/>
      <c r="W25" s="546"/>
      <c r="X25" s="271">
        <f>W25-V25</f>
        <v>0</v>
      </c>
      <c r="Y25" s="545"/>
      <c r="Z25" s="546"/>
      <c r="AA25" s="271">
        <f>Z25-Y25</f>
        <v>0</v>
      </c>
      <c r="AB25" s="545"/>
      <c r="AC25" s="546"/>
      <c r="AD25" s="271">
        <f>AC25-AB25</f>
        <v>0</v>
      </c>
      <c r="AE25" s="545"/>
      <c r="AF25" s="546"/>
      <c r="AG25" s="271">
        <f>AF25-AE25</f>
        <v>0</v>
      </c>
      <c r="AH25" s="545"/>
      <c r="AI25" s="546"/>
      <c r="AJ25" s="271">
        <f>AI25-AH25</f>
        <v>0</v>
      </c>
      <c r="AK25" s="545"/>
      <c r="AL25" s="546"/>
      <c r="AM25" s="271">
        <f>AL25-AK25</f>
        <v>0</v>
      </c>
      <c r="AN25" s="545"/>
      <c r="AO25" s="546"/>
      <c r="AP25" s="271">
        <f>AO25-AN25</f>
        <v>0</v>
      </c>
      <c r="AQ25" s="545"/>
      <c r="AR25" s="546"/>
      <c r="AS25" s="271">
        <f>AR25-AQ25</f>
        <v>0</v>
      </c>
      <c r="AT25" s="545"/>
      <c r="AU25" s="546"/>
      <c r="AV25" s="271">
        <f>AU25-AT25</f>
        <v>0</v>
      </c>
      <c r="AW25" s="545"/>
      <c r="AX25" s="546"/>
      <c r="AY25" s="271">
        <f>AX25-AW25</f>
        <v>0</v>
      </c>
      <c r="AZ25" s="545"/>
      <c r="BA25" s="546"/>
      <c r="BB25" s="271">
        <f>BA25-AZ25</f>
        <v>0</v>
      </c>
      <c r="BC25" s="545"/>
      <c r="BD25" s="546"/>
      <c r="BE25" s="271">
        <f>BD25-BC25</f>
        <v>0</v>
      </c>
      <c r="BF25" s="545"/>
      <c r="BG25" s="546"/>
      <c r="BH25" s="271">
        <f>BG25-BF25</f>
        <v>0</v>
      </c>
      <c r="BI25" s="545"/>
      <c r="BJ25" s="546"/>
      <c r="BK25" s="271">
        <f>BJ25-BI25</f>
        <v>0</v>
      </c>
      <c r="BL25" s="545"/>
      <c r="BM25" s="546"/>
      <c r="BN25" s="271">
        <f>BM25-BL25</f>
        <v>0</v>
      </c>
      <c r="BO25" s="545"/>
      <c r="BP25" s="546"/>
      <c r="BQ25" s="271">
        <f>BP25-BO25</f>
        <v>0</v>
      </c>
      <c r="BR25" s="280"/>
    </row>
    <row r="26" spans="1:70">
      <c r="A26" s="777"/>
      <c r="B26" s="781"/>
      <c r="C26" s="24" t="s">
        <v>26</v>
      </c>
      <c r="D26" s="272"/>
      <c r="E26" s="273"/>
      <c r="F26" s="274"/>
      <c r="G26" s="547"/>
      <c r="H26" s="548"/>
      <c r="I26" s="275">
        <f t="shared" ref="I26:I43" si="26">H26-G26</f>
        <v>0</v>
      </c>
      <c r="J26" s="547"/>
      <c r="K26" s="548"/>
      <c r="L26" s="275">
        <f t="shared" ref="L26:L43" si="27">K26-J26</f>
        <v>0</v>
      </c>
      <c r="M26" s="547"/>
      <c r="N26" s="548"/>
      <c r="O26" s="275">
        <f t="shared" ref="O26:O43" si="28">N26-M26</f>
        <v>0</v>
      </c>
      <c r="P26" s="547"/>
      <c r="Q26" s="548"/>
      <c r="R26" s="275">
        <f t="shared" ref="R26:R43" si="29">Q26-P26</f>
        <v>0</v>
      </c>
      <c r="S26" s="547"/>
      <c r="T26" s="548"/>
      <c r="U26" s="275">
        <f t="shared" ref="U26:U43" si="30">T26-S26</f>
        <v>0</v>
      </c>
      <c r="V26" s="547"/>
      <c r="W26" s="548"/>
      <c r="X26" s="275">
        <f t="shared" ref="X26:X43" si="31">W26-V26</f>
        <v>0</v>
      </c>
      <c r="Y26" s="547"/>
      <c r="Z26" s="548"/>
      <c r="AA26" s="275">
        <f t="shared" ref="AA26:AA43" si="32">Z26-Y26</f>
        <v>0</v>
      </c>
      <c r="AB26" s="547"/>
      <c r="AC26" s="548"/>
      <c r="AD26" s="275">
        <f t="shared" ref="AD26:AD43" si="33">AC26-AB26</f>
        <v>0</v>
      </c>
      <c r="AE26" s="547"/>
      <c r="AF26" s="548"/>
      <c r="AG26" s="275">
        <f t="shared" ref="AG26:AG43" si="34">AF26-AE26</f>
        <v>0</v>
      </c>
      <c r="AH26" s="547"/>
      <c r="AI26" s="548"/>
      <c r="AJ26" s="275">
        <f t="shared" ref="AJ26:AJ43" si="35">AI26-AH26</f>
        <v>0</v>
      </c>
      <c r="AK26" s="547"/>
      <c r="AL26" s="548"/>
      <c r="AM26" s="275">
        <f t="shared" ref="AM26:AM43" si="36">AL26-AK26</f>
        <v>0</v>
      </c>
      <c r="AN26" s="547"/>
      <c r="AO26" s="548"/>
      <c r="AP26" s="275">
        <f t="shared" ref="AP26:AP43" si="37">AO26-AN26</f>
        <v>0</v>
      </c>
      <c r="AQ26" s="547"/>
      <c r="AR26" s="548"/>
      <c r="AS26" s="275">
        <f t="shared" ref="AS26:AS43" si="38">AR26-AQ26</f>
        <v>0</v>
      </c>
      <c r="AT26" s="547"/>
      <c r="AU26" s="548"/>
      <c r="AV26" s="275">
        <f t="shared" ref="AV26:AV43" si="39">AU26-AT26</f>
        <v>0</v>
      </c>
      <c r="AW26" s="547"/>
      <c r="AX26" s="548"/>
      <c r="AY26" s="275">
        <f t="shared" ref="AY26:AY43" si="40">AX26-AW26</f>
        <v>0</v>
      </c>
      <c r="AZ26" s="547"/>
      <c r="BA26" s="548"/>
      <c r="BB26" s="275">
        <f t="shared" ref="BB26:BB43" si="41">BA26-AZ26</f>
        <v>0</v>
      </c>
      <c r="BC26" s="547"/>
      <c r="BD26" s="548"/>
      <c r="BE26" s="275">
        <f t="shared" ref="BE26:BE43" si="42">BD26-BC26</f>
        <v>0</v>
      </c>
      <c r="BF26" s="547"/>
      <c r="BG26" s="548"/>
      <c r="BH26" s="275">
        <f t="shared" ref="BH26:BH43" si="43">BG26-BF26</f>
        <v>0</v>
      </c>
      <c r="BI26" s="547"/>
      <c r="BJ26" s="548"/>
      <c r="BK26" s="275">
        <f t="shared" ref="BK26:BK43" si="44">BJ26-BI26</f>
        <v>0</v>
      </c>
      <c r="BL26" s="547"/>
      <c r="BM26" s="548"/>
      <c r="BN26" s="275">
        <f t="shared" ref="BN26:BN43" si="45">BM26-BL26</f>
        <v>0</v>
      </c>
      <c r="BO26" s="547"/>
      <c r="BP26" s="548"/>
      <c r="BQ26" s="275">
        <f t="shared" ref="BQ26:BQ53" si="46">BP26-BO26</f>
        <v>0</v>
      </c>
    </row>
    <row r="27" spans="1:70">
      <c r="A27" s="777"/>
      <c r="B27" s="781"/>
      <c r="C27" s="24" t="s">
        <v>27</v>
      </c>
      <c r="D27" s="272"/>
      <c r="E27" s="273"/>
      <c r="F27" s="274"/>
      <c r="G27" s="547"/>
      <c r="H27" s="548"/>
      <c r="I27" s="275">
        <f t="shared" si="26"/>
        <v>0</v>
      </c>
      <c r="J27" s="547"/>
      <c r="K27" s="548"/>
      <c r="L27" s="275">
        <f t="shared" si="27"/>
        <v>0</v>
      </c>
      <c r="M27" s="547"/>
      <c r="N27" s="548"/>
      <c r="O27" s="275">
        <f t="shared" si="28"/>
        <v>0</v>
      </c>
      <c r="P27" s="547"/>
      <c r="Q27" s="548"/>
      <c r="R27" s="275">
        <f t="shared" si="29"/>
        <v>0</v>
      </c>
      <c r="S27" s="547"/>
      <c r="T27" s="548"/>
      <c r="U27" s="275">
        <f t="shared" si="30"/>
        <v>0</v>
      </c>
      <c r="V27" s="547"/>
      <c r="W27" s="548"/>
      <c r="X27" s="275">
        <f t="shared" si="31"/>
        <v>0</v>
      </c>
      <c r="Y27" s="547"/>
      <c r="Z27" s="548"/>
      <c r="AA27" s="275">
        <f t="shared" si="32"/>
        <v>0</v>
      </c>
      <c r="AB27" s="547"/>
      <c r="AC27" s="548"/>
      <c r="AD27" s="275">
        <f t="shared" si="33"/>
        <v>0</v>
      </c>
      <c r="AE27" s="547"/>
      <c r="AF27" s="548"/>
      <c r="AG27" s="275">
        <f t="shared" si="34"/>
        <v>0</v>
      </c>
      <c r="AH27" s="547"/>
      <c r="AI27" s="548"/>
      <c r="AJ27" s="275">
        <f t="shared" si="35"/>
        <v>0</v>
      </c>
      <c r="AK27" s="547"/>
      <c r="AL27" s="548"/>
      <c r="AM27" s="275">
        <f t="shared" si="36"/>
        <v>0</v>
      </c>
      <c r="AN27" s="547"/>
      <c r="AO27" s="548"/>
      <c r="AP27" s="275">
        <f t="shared" si="37"/>
        <v>0</v>
      </c>
      <c r="AQ27" s="547"/>
      <c r="AR27" s="548"/>
      <c r="AS27" s="275">
        <f t="shared" si="38"/>
        <v>0</v>
      </c>
      <c r="AT27" s="547"/>
      <c r="AU27" s="548"/>
      <c r="AV27" s="275">
        <f t="shared" si="39"/>
        <v>0</v>
      </c>
      <c r="AW27" s="547"/>
      <c r="AX27" s="548"/>
      <c r="AY27" s="275">
        <f t="shared" si="40"/>
        <v>0</v>
      </c>
      <c r="AZ27" s="547"/>
      <c r="BA27" s="548"/>
      <c r="BB27" s="275">
        <f t="shared" si="41"/>
        <v>0</v>
      </c>
      <c r="BC27" s="547"/>
      <c r="BD27" s="548"/>
      <c r="BE27" s="275">
        <f t="shared" si="42"/>
        <v>0</v>
      </c>
      <c r="BF27" s="547"/>
      <c r="BG27" s="548"/>
      <c r="BH27" s="275">
        <f t="shared" si="43"/>
        <v>0</v>
      </c>
      <c r="BI27" s="547"/>
      <c r="BJ27" s="548"/>
      <c r="BK27" s="275">
        <f t="shared" si="44"/>
        <v>0</v>
      </c>
      <c r="BL27" s="547"/>
      <c r="BM27" s="548"/>
      <c r="BN27" s="275">
        <f t="shared" si="45"/>
        <v>0</v>
      </c>
      <c r="BO27" s="547"/>
      <c r="BP27" s="548"/>
      <c r="BQ27" s="275">
        <f t="shared" si="46"/>
        <v>0</v>
      </c>
    </row>
    <row r="28" spans="1:70">
      <c r="A28" s="777"/>
      <c r="B28" s="781"/>
      <c r="C28" s="24" t="s">
        <v>28</v>
      </c>
      <c r="D28" s="272"/>
      <c r="E28" s="273"/>
      <c r="F28" s="274"/>
      <c r="G28" s="547"/>
      <c r="H28" s="548"/>
      <c r="I28" s="275">
        <f t="shared" si="26"/>
        <v>0</v>
      </c>
      <c r="J28" s="547"/>
      <c r="K28" s="548"/>
      <c r="L28" s="275">
        <f t="shared" si="27"/>
        <v>0</v>
      </c>
      <c r="M28" s="547"/>
      <c r="N28" s="548"/>
      <c r="O28" s="275">
        <f t="shared" si="28"/>
        <v>0</v>
      </c>
      <c r="P28" s="547"/>
      <c r="Q28" s="548"/>
      <c r="R28" s="275">
        <f t="shared" si="29"/>
        <v>0</v>
      </c>
      <c r="S28" s="547"/>
      <c r="T28" s="548"/>
      <c r="U28" s="275">
        <f t="shared" si="30"/>
        <v>0</v>
      </c>
      <c r="V28" s="547"/>
      <c r="W28" s="548"/>
      <c r="X28" s="275">
        <f t="shared" si="31"/>
        <v>0</v>
      </c>
      <c r="Y28" s="547"/>
      <c r="Z28" s="548"/>
      <c r="AA28" s="275">
        <f t="shared" si="32"/>
        <v>0</v>
      </c>
      <c r="AB28" s="547"/>
      <c r="AC28" s="548"/>
      <c r="AD28" s="275">
        <f t="shared" si="33"/>
        <v>0</v>
      </c>
      <c r="AE28" s="547"/>
      <c r="AF28" s="548"/>
      <c r="AG28" s="275">
        <f t="shared" si="34"/>
        <v>0</v>
      </c>
      <c r="AH28" s="547"/>
      <c r="AI28" s="548"/>
      <c r="AJ28" s="275">
        <f t="shared" si="35"/>
        <v>0</v>
      </c>
      <c r="AK28" s="547"/>
      <c r="AL28" s="548"/>
      <c r="AM28" s="275">
        <f t="shared" si="36"/>
        <v>0</v>
      </c>
      <c r="AN28" s="547"/>
      <c r="AO28" s="548"/>
      <c r="AP28" s="275">
        <f t="shared" si="37"/>
        <v>0</v>
      </c>
      <c r="AQ28" s="547"/>
      <c r="AR28" s="548"/>
      <c r="AS28" s="275">
        <f t="shared" si="38"/>
        <v>0</v>
      </c>
      <c r="AT28" s="547"/>
      <c r="AU28" s="548"/>
      <c r="AV28" s="275">
        <f t="shared" si="39"/>
        <v>0</v>
      </c>
      <c r="AW28" s="547"/>
      <c r="AX28" s="548"/>
      <c r="AY28" s="275">
        <f t="shared" si="40"/>
        <v>0</v>
      </c>
      <c r="AZ28" s="547"/>
      <c r="BA28" s="548"/>
      <c r="BB28" s="275">
        <f t="shared" si="41"/>
        <v>0</v>
      </c>
      <c r="BC28" s="547"/>
      <c r="BD28" s="548"/>
      <c r="BE28" s="275">
        <f t="shared" si="42"/>
        <v>0</v>
      </c>
      <c r="BF28" s="547"/>
      <c r="BG28" s="548"/>
      <c r="BH28" s="275">
        <f t="shared" si="43"/>
        <v>0</v>
      </c>
      <c r="BI28" s="547"/>
      <c r="BJ28" s="548"/>
      <c r="BK28" s="275">
        <f t="shared" si="44"/>
        <v>0</v>
      </c>
      <c r="BL28" s="547"/>
      <c r="BM28" s="548"/>
      <c r="BN28" s="275">
        <f t="shared" si="45"/>
        <v>0</v>
      </c>
      <c r="BO28" s="547"/>
      <c r="BP28" s="548"/>
      <c r="BQ28" s="275">
        <f t="shared" si="46"/>
        <v>0</v>
      </c>
    </row>
    <row r="29" spans="1:70">
      <c r="A29" s="777"/>
      <c r="B29" s="781"/>
      <c r="C29" s="24" t="s">
        <v>29</v>
      </c>
      <c r="D29" s="272"/>
      <c r="E29" s="273"/>
      <c r="F29" s="274"/>
      <c r="G29" s="547"/>
      <c r="H29" s="548"/>
      <c r="I29" s="275">
        <f t="shared" si="26"/>
        <v>0</v>
      </c>
      <c r="J29" s="547"/>
      <c r="K29" s="548"/>
      <c r="L29" s="275">
        <f t="shared" si="27"/>
        <v>0</v>
      </c>
      <c r="M29" s="547"/>
      <c r="N29" s="548"/>
      <c r="O29" s="275">
        <f t="shared" si="28"/>
        <v>0</v>
      </c>
      <c r="P29" s="547"/>
      <c r="Q29" s="548"/>
      <c r="R29" s="275">
        <f t="shared" si="29"/>
        <v>0</v>
      </c>
      <c r="S29" s="547"/>
      <c r="T29" s="548"/>
      <c r="U29" s="275">
        <f t="shared" si="30"/>
        <v>0</v>
      </c>
      <c r="V29" s="547"/>
      <c r="W29" s="548"/>
      <c r="X29" s="275">
        <f t="shared" si="31"/>
        <v>0</v>
      </c>
      <c r="Y29" s="547"/>
      <c r="Z29" s="548"/>
      <c r="AA29" s="275">
        <f t="shared" si="32"/>
        <v>0</v>
      </c>
      <c r="AB29" s="547"/>
      <c r="AC29" s="548"/>
      <c r="AD29" s="275">
        <f t="shared" si="33"/>
        <v>0</v>
      </c>
      <c r="AE29" s="547"/>
      <c r="AF29" s="548"/>
      <c r="AG29" s="275">
        <f t="shared" si="34"/>
        <v>0</v>
      </c>
      <c r="AH29" s="547"/>
      <c r="AI29" s="548"/>
      <c r="AJ29" s="275">
        <f t="shared" si="35"/>
        <v>0</v>
      </c>
      <c r="AK29" s="547"/>
      <c r="AL29" s="548"/>
      <c r="AM29" s="275">
        <f t="shared" si="36"/>
        <v>0</v>
      </c>
      <c r="AN29" s="547"/>
      <c r="AO29" s="548"/>
      <c r="AP29" s="275">
        <f t="shared" si="37"/>
        <v>0</v>
      </c>
      <c r="AQ29" s="547"/>
      <c r="AR29" s="548"/>
      <c r="AS29" s="275">
        <f t="shared" si="38"/>
        <v>0</v>
      </c>
      <c r="AT29" s="547"/>
      <c r="AU29" s="548"/>
      <c r="AV29" s="275">
        <f t="shared" si="39"/>
        <v>0</v>
      </c>
      <c r="AW29" s="547"/>
      <c r="AX29" s="548"/>
      <c r="AY29" s="275">
        <f t="shared" si="40"/>
        <v>0</v>
      </c>
      <c r="AZ29" s="547"/>
      <c r="BA29" s="548"/>
      <c r="BB29" s="275">
        <f t="shared" si="41"/>
        <v>0</v>
      </c>
      <c r="BC29" s="547"/>
      <c r="BD29" s="548"/>
      <c r="BE29" s="275">
        <f t="shared" si="42"/>
        <v>0</v>
      </c>
      <c r="BF29" s="547"/>
      <c r="BG29" s="548"/>
      <c r="BH29" s="275">
        <f t="shared" si="43"/>
        <v>0</v>
      </c>
      <c r="BI29" s="547"/>
      <c r="BJ29" s="548"/>
      <c r="BK29" s="275">
        <f t="shared" si="44"/>
        <v>0</v>
      </c>
      <c r="BL29" s="547"/>
      <c r="BM29" s="548"/>
      <c r="BN29" s="275">
        <f t="shared" si="45"/>
        <v>0</v>
      </c>
      <c r="BO29" s="547"/>
      <c r="BP29" s="548"/>
      <c r="BQ29" s="275">
        <f t="shared" si="46"/>
        <v>0</v>
      </c>
    </row>
    <row r="30" spans="1:70">
      <c r="A30" s="777"/>
      <c r="B30" s="781"/>
      <c r="C30" s="24" t="s">
        <v>30</v>
      </c>
      <c r="D30" s="272"/>
      <c r="E30" s="273"/>
      <c r="F30" s="274"/>
      <c r="G30" s="547"/>
      <c r="H30" s="548"/>
      <c r="I30" s="275">
        <f t="shared" si="26"/>
        <v>0</v>
      </c>
      <c r="J30" s="547"/>
      <c r="K30" s="548"/>
      <c r="L30" s="275">
        <f t="shared" si="27"/>
        <v>0</v>
      </c>
      <c r="M30" s="547"/>
      <c r="N30" s="548"/>
      <c r="O30" s="275">
        <f t="shared" si="28"/>
        <v>0</v>
      </c>
      <c r="P30" s="547"/>
      <c r="Q30" s="548"/>
      <c r="R30" s="275">
        <f t="shared" si="29"/>
        <v>0</v>
      </c>
      <c r="S30" s="547"/>
      <c r="T30" s="548"/>
      <c r="U30" s="275">
        <f t="shared" si="30"/>
        <v>0</v>
      </c>
      <c r="V30" s="547"/>
      <c r="W30" s="548"/>
      <c r="X30" s="275">
        <f t="shared" si="31"/>
        <v>0</v>
      </c>
      <c r="Y30" s="547"/>
      <c r="Z30" s="548"/>
      <c r="AA30" s="275">
        <f t="shared" si="32"/>
        <v>0</v>
      </c>
      <c r="AB30" s="547"/>
      <c r="AC30" s="548"/>
      <c r="AD30" s="275">
        <f t="shared" si="33"/>
        <v>0</v>
      </c>
      <c r="AE30" s="547"/>
      <c r="AF30" s="548"/>
      <c r="AG30" s="275">
        <f t="shared" si="34"/>
        <v>0</v>
      </c>
      <c r="AH30" s="547"/>
      <c r="AI30" s="548"/>
      <c r="AJ30" s="275">
        <f t="shared" si="35"/>
        <v>0</v>
      </c>
      <c r="AK30" s="547"/>
      <c r="AL30" s="548"/>
      <c r="AM30" s="275">
        <f t="shared" si="36"/>
        <v>0</v>
      </c>
      <c r="AN30" s="547"/>
      <c r="AO30" s="548"/>
      <c r="AP30" s="275">
        <f t="shared" si="37"/>
        <v>0</v>
      </c>
      <c r="AQ30" s="547"/>
      <c r="AR30" s="548"/>
      <c r="AS30" s="275">
        <f t="shared" si="38"/>
        <v>0</v>
      </c>
      <c r="AT30" s="547"/>
      <c r="AU30" s="548"/>
      <c r="AV30" s="275">
        <f t="shared" si="39"/>
        <v>0</v>
      </c>
      <c r="AW30" s="547"/>
      <c r="AX30" s="548"/>
      <c r="AY30" s="275">
        <f t="shared" si="40"/>
        <v>0</v>
      </c>
      <c r="AZ30" s="547"/>
      <c r="BA30" s="548"/>
      <c r="BB30" s="275">
        <f t="shared" si="41"/>
        <v>0</v>
      </c>
      <c r="BC30" s="547"/>
      <c r="BD30" s="548"/>
      <c r="BE30" s="275">
        <f t="shared" si="42"/>
        <v>0</v>
      </c>
      <c r="BF30" s="547"/>
      <c r="BG30" s="548"/>
      <c r="BH30" s="275">
        <f t="shared" si="43"/>
        <v>0</v>
      </c>
      <c r="BI30" s="547"/>
      <c r="BJ30" s="548"/>
      <c r="BK30" s="275">
        <f t="shared" si="44"/>
        <v>0</v>
      </c>
      <c r="BL30" s="547"/>
      <c r="BM30" s="548"/>
      <c r="BN30" s="275">
        <f t="shared" si="45"/>
        <v>0</v>
      </c>
      <c r="BO30" s="547"/>
      <c r="BP30" s="548"/>
      <c r="BQ30" s="275">
        <f t="shared" si="46"/>
        <v>0</v>
      </c>
    </row>
    <row r="31" spans="1:70">
      <c r="A31" s="777"/>
      <c r="B31" s="781"/>
      <c r="C31" s="24" t="s">
        <v>31</v>
      </c>
      <c r="D31" s="272"/>
      <c r="E31" s="273"/>
      <c r="F31" s="274"/>
      <c r="G31" s="547"/>
      <c r="H31" s="548"/>
      <c r="I31" s="275">
        <f t="shared" si="26"/>
        <v>0</v>
      </c>
      <c r="J31" s="547"/>
      <c r="K31" s="548"/>
      <c r="L31" s="275">
        <f t="shared" si="27"/>
        <v>0</v>
      </c>
      <c r="M31" s="547"/>
      <c r="N31" s="548"/>
      <c r="O31" s="275">
        <f t="shared" si="28"/>
        <v>0</v>
      </c>
      <c r="P31" s="547"/>
      <c r="Q31" s="548"/>
      <c r="R31" s="275">
        <f t="shared" si="29"/>
        <v>0</v>
      </c>
      <c r="S31" s="547"/>
      <c r="T31" s="548"/>
      <c r="U31" s="275">
        <f t="shared" si="30"/>
        <v>0</v>
      </c>
      <c r="V31" s="547"/>
      <c r="W31" s="548"/>
      <c r="X31" s="275">
        <f t="shared" si="31"/>
        <v>0</v>
      </c>
      <c r="Y31" s="547"/>
      <c r="Z31" s="548"/>
      <c r="AA31" s="275">
        <f t="shared" si="32"/>
        <v>0</v>
      </c>
      <c r="AB31" s="547"/>
      <c r="AC31" s="548"/>
      <c r="AD31" s="275">
        <f t="shared" si="33"/>
        <v>0</v>
      </c>
      <c r="AE31" s="547"/>
      <c r="AF31" s="548"/>
      <c r="AG31" s="275">
        <f t="shared" si="34"/>
        <v>0</v>
      </c>
      <c r="AH31" s="547"/>
      <c r="AI31" s="548"/>
      <c r="AJ31" s="275">
        <f t="shared" si="35"/>
        <v>0</v>
      </c>
      <c r="AK31" s="547"/>
      <c r="AL31" s="548"/>
      <c r="AM31" s="275">
        <f t="shared" si="36"/>
        <v>0</v>
      </c>
      <c r="AN31" s="547"/>
      <c r="AO31" s="548"/>
      <c r="AP31" s="275">
        <f t="shared" si="37"/>
        <v>0</v>
      </c>
      <c r="AQ31" s="547"/>
      <c r="AR31" s="548"/>
      <c r="AS31" s="275">
        <f t="shared" si="38"/>
        <v>0</v>
      </c>
      <c r="AT31" s="547"/>
      <c r="AU31" s="548"/>
      <c r="AV31" s="275">
        <f t="shared" si="39"/>
        <v>0</v>
      </c>
      <c r="AW31" s="547"/>
      <c r="AX31" s="548"/>
      <c r="AY31" s="275">
        <f t="shared" si="40"/>
        <v>0</v>
      </c>
      <c r="AZ31" s="547"/>
      <c r="BA31" s="548"/>
      <c r="BB31" s="275">
        <f t="shared" si="41"/>
        <v>0</v>
      </c>
      <c r="BC31" s="547"/>
      <c r="BD31" s="548"/>
      <c r="BE31" s="275">
        <f t="shared" si="42"/>
        <v>0</v>
      </c>
      <c r="BF31" s="547"/>
      <c r="BG31" s="548"/>
      <c r="BH31" s="275">
        <f t="shared" si="43"/>
        <v>0</v>
      </c>
      <c r="BI31" s="547"/>
      <c r="BJ31" s="548"/>
      <c r="BK31" s="275">
        <f t="shared" si="44"/>
        <v>0</v>
      </c>
      <c r="BL31" s="547"/>
      <c r="BM31" s="548"/>
      <c r="BN31" s="275">
        <f t="shared" si="45"/>
        <v>0</v>
      </c>
      <c r="BO31" s="547"/>
      <c r="BP31" s="548"/>
      <c r="BQ31" s="275">
        <f t="shared" si="46"/>
        <v>0</v>
      </c>
    </row>
    <row r="32" spans="1:70">
      <c r="A32" s="777"/>
      <c r="B32" s="781"/>
      <c r="C32" s="24" t="s">
        <v>32</v>
      </c>
      <c r="D32" s="272"/>
      <c r="E32" s="273"/>
      <c r="F32" s="274"/>
      <c r="G32" s="547"/>
      <c r="H32" s="548"/>
      <c r="I32" s="275">
        <f t="shared" si="26"/>
        <v>0</v>
      </c>
      <c r="J32" s="547"/>
      <c r="K32" s="548"/>
      <c r="L32" s="275">
        <f t="shared" si="27"/>
        <v>0</v>
      </c>
      <c r="M32" s="547"/>
      <c r="N32" s="548"/>
      <c r="O32" s="275">
        <f t="shared" si="28"/>
        <v>0</v>
      </c>
      <c r="P32" s="547"/>
      <c r="Q32" s="548"/>
      <c r="R32" s="275">
        <f t="shared" si="29"/>
        <v>0</v>
      </c>
      <c r="S32" s="547"/>
      <c r="T32" s="548"/>
      <c r="U32" s="275">
        <f t="shared" si="30"/>
        <v>0</v>
      </c>
      <c r="V32" s="547"/>
      <c r="W32" s="548"/>
      <c r="X32" s="275">
        <f t="shared" si="31"/>
        <v>0</v>
      </c>
      <c r="Y32" s="547"/>
      <c r="Z32" s="548"/>
      <c r="AA32" s="275">
        <f t="shared" si="32"/>
        <v>0</v>
      </c>
      <c r="AB32" s="547"/>
      <c r="AC32" s="548"/>
      <c r="AD32" s="275">
        <f t="shared" si="33"/>
        <v>0</v>
      </c>
      <c r="AE32" s="547"/>
      <c r="AF32" s="548"/>
      <c r="AG32" s="275">
        <f t="shared" si="34"/>
        <v>0</v>
      </c>
      <c r="AH32" s="547"/>
      <c r="AI32" s="548"/>
      <c r="AJ32" s="275">
        <f t="shared" si="35"/>
        <v>0</v>
      </c>
      <c r="AK32" s="547"/>
      <c r="AL32" s="548"/>
      <c r="AM32" s="275">
        <f t="shared" si="36"/>
        <v>0</v>
      </c>
      <c r="AN32" s="547"/>
      <c r="AO32" s="548"/>
      <c r="AP32" s="275">
        <f t="shared" si="37"/>
        <v>0</v>
      </c>
      <c r="AQ32" s="547"/>
      <c r="AR32" s="548"/>
      <c r="AS32" s="275">
        <f t="shared" si="38"/>
        <v>0</v>
      </c>
      <c r="AT32" s="547"/>
      <c r="AU32" s="548"/>
      <c r="AV32" s="275">
        <f t="shared" si="39"/>
        <v>0</v>
      </c>
      <c r="AW32" s="547"/>
      <c r="AX32" s="548"/>
      <c r="AY32" s="275">
        <f t="shared" si="40"/>
        <v>0</v>
      </c>
      <c r="AZ32" s="547"/>
      <c r="BA32" s="548"/>
      <c r="BB32" s="275">
        <f t="shared" si="41"/>
        <v>0</v>
      </c>
      <c r="BC32" s="547"/>
      <c r="BD32" s="548"/>
      <c r="BE32" s="275">
        <f t="shared" si="42"/>
        <v>0</v>
      </c>
      <c r="BF32" s="547"/>
      <c r="BG32" s="548"/>
      <c r="BH32" s="275">
        <f t="shared" si="43"/>
        <v>0</v>
      </c>
      <c r="BI32" s="547"/>
      <c r="BJ32" s="548"/>
      <c r="BK32" s="275">
        <f t="shared" si="44"/>
        <v>0</v>
      </c>
      <c r="BL32" s="547"/>
      <c r="BM32" s="548"/>
      <c r="BN32" s="275">
        <f t="shared" si="45"/>
        <v>0</v>
      </c>
      <c r="BO32" s="547"/>
      <c r="BP32" s="548"/>
      <c r="BQ32" s="275">
        <f t="shared" si="46"/>
        <v>0</v>
      </c>
    </row>
    <row r="33" spans="1:70">
      <c r="A33" s="777"/>
      <c r="B33" s="781"/>
      <c r="C33" s="24" t="s">
        <v>33</v>
      </c>
      <c r="D33" s="272"/>
      <c r="E33" s="273"/>
      <c r="F33" s="274"/>
      <c r="G33" s="547"/>
      <c r="H33" s="548"/>
      <c r="I33" s="275">
        <f t="shared" si="26"/>
        <v>0</v>
      </c>
      <c r="J33" s="547"/>
      <c r="K33" s="548"/>
      <c r="L33" s="275">
        <f t="shared" si="27"/>
        <v>0</v>
      </c>
      <c r="M33" s="547"/>
      <c r="N33" s="548"/>
      <c r="O33" s="275">
        <f t="shared" si="28"/>
        <v>0</v>
      </c>
      <c r="P33" s="547"/>
      <c r="Q33" s="548"/>
      <c r="R33" s="275">
        <f t="shared" si="29"/>
        <v>0</v>
      </c>
      <c r="S33" s="547"/>
      <c r="T33" s="548"/>
      <c r="U33" s="275">
        <f t="shared" si="30"/>
        <v>0</v>
      </c>
      <c r="V33" s="547"/>
      <c r="W33" s="548"/>
      <c r="X33" s="275">
        <f t="shared" si="31"/>
        <v>0</v>
      </c>
      <c r="Y33" s="547"/>
      <c r="Z33" s="548"/>
      <c r="AA33" s="275">
        <f t="shared" si="32"/>
        <v>0</v>
      </c>
      <c r="AB33" s="547"/>
      <c r="AC33" s="548"/>
      <c r="AD33" s="275">
        <f t="shared" si="33"/>
        <v>0</v>
      </c>
      <c r="AE33" s="547"/>
      <c r="AF33" s="548"/>
      <c r="AG33" s="275">
        <f t="shared" si="34"/>
        <v>0</v>
      </c>
      <c r="AH33" s="547"/>
      <c r="AI33" s="548"/>
      <c r="AJ33" s="275">
        <f t="shared" si="35"/>
        <v>0</v>
      </c>
      <c r="AK33" s="547"/>
      <c r="AL33" s="548"/>
      <c r="AM33" s="275">
        <f t="shared" si="36"/>
        <v>0</v>
      </c>
      <c r="AN33" s="547"/>
      <c r="AO33" s="548"/>
      <c r="AP33" s="275">
        <f t="shared" si="37"/>
        <v>0</v>
      </c>
      <c r="AQ33" s="547"/>
      <c r="AR33" s="548"/>
      <c r="AS33" s="275">
        <f t="shared" si="38"/>
        <v>0</v>
      </c>
      <c r="AT33" s="547"/>
      <c r="AU33" s="548"/>
      <c r="AV33" s="275">
        <f t="shared" si="39"/>
        <v>0</v>
      </c>
      <c r="AW33" s="547"/>
      <c r="AX33" s="548"/>
      <c r="AY33" s="275">
        <f t="shared" si="40"/>
        <v>0</v>
      </c>
      <c r="AZ33" s="547"/>
      <c r="BA33" s="548"/>
      <c r="BB33" s="275">
        <f t="shared" si="41"/>
        <v>0</v>
      </c>
      <c r="BC33" s="547"/>
      <c r="BD33" s="548"/>
      <c r="BE33" s="275">
        <f t="shared" si="42"/>
        <v>0</v>
      </c>
      <c r="BF33" s="547"/>
      <c r="BG33" s="548"/>
      <c r="BH33" s="275">
        <f t="shared" si="43"/>
        <v>0</v>
      </c>
      <c r="BI33" s="547"/>
      <c r="BJ33" s="548"/>
      <c r="BK33" s="275">
        <f t="shared" si="44"/>
        <v>0</v>
      </c>
      <c r="BL33" s="547"/>
      <c r="BM33" s="548"/>
      <c r="BN33" s="275">
        <f t="shared" si="45"/>
        <v>0</v>
      </c>
      <c r="BO33" s="547"/>
      <c r="BP33" s="548"/>
      <c r="BQ33" s="275">
        <f t="shared" si="46"/>
        <v>0</v>
      </c>
    </row>
    <row r="34" spans="1:70" ht="15.75" thickBot="1">
      <c r="A34" s="778"/>
      <c r="B34" s="782"/>
      <c r="C34" s="263" t="s">
        <v>34</v>
      </c>
      <c r="D34" s="276"/>
      <c r="E34" s="277"/>
      <c r="F34" s="278"/>
      <c r="G34" s="549"/>
      <c r="H34" s="550"/>
      <c r="I34" s="279">
        <f t="shared" si="26"/>
        <v>0</v>
      </c>
      <c r="J34" s="549"/>
      <c r="K34" s="550"/>
      <c r="L34" s="279">
        <f t="shared" si="27"/>
        <v>0</v>
      </c>
      <c r="M34" s="549"/>
      <c r="N34" s="550"/>
      <c r="O34" s="279">
        <f t="shared" si="28"/>
        <v>0</v>
      </c>
      <c r="P34" s="549"/>
      <c r="Q34" s="550"/>
      <c r="R34" s="279">
        <f t="shared" si="29"/>
        <v>0</v>
      </c>
      <c r="S34" s="549"/>
      <c r="T34" s="550"/>
      <c r="U34" s="279">
        <f t="shared" si="30"/>
        <v>0</v>
      </c>
      <c r="V34" s="549"/>
      <c r="W34" s="550"/>
      <c r="X34" s="279">
        <f t="shared" si="31"/>
        <v>0</v>
      </c>
      <c r="Y34" s="549"/>
      <c r="Z34" s="550"/>
      <c r="AA34" s="279">
        <f t="shared" si="32"/>
        <v>0</v>
      </c>
      <c r="AB34" s="549"/>
      <c r="AC34" s="550"/>
      <c r="AD34" s="279">
        <f t="shared" si="33"/>
        <v>0</v>
      </c>
      <c r="AE34" s="549"/>
      <c r="AF34" s="550"/>
      <c r="AG34" s="279">
        <f t="shared" si="34"/>
        <v>0</v>
      </c>
      <c r="AH34" s="549"/>
      <c r="AI34" s="550"/>
      <c r="AJ34" s="279">
        <f t="shared" si="35"/>
        <v>0</v>
      </c>
      <c r="AK34" s="549"/>
      <c r="AL34" s="550"/>
      <c r="AM34" s="279">
        <f t="shared" si="36"/>
        <v>0</v>
      </c>
      <c r="AN34" s="549"/>
      <c r="AO34" s="550"/>
      <c r="AP34" s="279">
        <f t="shared" si="37"/>
        <v>0</v>
      </c>
      <c r="AQ34" s="549"/>
      <c r="AR34" s="550"/>
      <c r="AS34" s="279">
        <f t="shared" si="38"/>
        <v>0</v>
      </c>
      <c r="AT34" s="549"/>
      <c r="AU34" s="550"/>
      <c r="AV34" s="279">
        <f t="shared" si="39"/>
        <v>0</v>
      </c>
      <c r="AW34" s="549"/>
      <c r="AX34" s="550"/>
      <c r="AY34" s="279">
        <f t="shared" si="40"/>
        <v>0</v>
      </c>
      <c r="AZ34" s="549"/>
      <c r="BA34" s="550"/>
      <c r="BB34" s="279">
        <f t="shared" si="41"/>
        <v>0</v>
      </c>
      <c r="BC34" s="549"/>
      <c r="BD34" s="550"/>
      <c r="BE34" s="279">
        <f t="shared" si="42"/>
        <v>0</v>
      </c>
      <c r="BF34" s="549"/>
      <c r="BG34" s="550"/>
      <c r="BH34" s="279">
        <f t="shared" si="43"/>
        <v>0</v>
      </c>
      <c r="BI34" s="549"/>
      <c r="BJ34" s="550"/>
      <c r="BK34" s="279">
        <f t="shared" si="44"/>
        <v>0</v>
      </c>
      <c r="BL34" s="549"/>
      <c r="BM34" s="550"/>
      <c r="BN34" s="279">
        <f t="shared" si="45"/>
        <v>0</v>
      </c>
      <c r="BO34" s="549"/>
      <c r="BP34" s="550"/>
      <c r="BQ34" s="279">
        <f t="shared" si="46"/>
        <v>0</v>
      </c>
    </row>
    <row r="35" spans="1:70" s="281" customFormat="1" ht="14.65" customHeight="1">
      <c r="A35" s="776" t="s">
        <v>152</v>
      </c>
      <c r="B35" s="780" t="s">
        <v>145</v>
      </c>
      <c r="C35" s="251" t="s">
        <v>25</v>
      </c>
      <c r="D35" s="268"/>
      <c r="E35" s="269"/>
      <c r="F35" s="270"/>
      <c r="G35" s="545">
        <v>0.2</v>
      </c>
      <c r="H35" s="546">
        <v>0.1</v>
      </c>
      <c r="I35" s="271">
        <f t="shared" si="26"/>
        <v>-0.1</v>
      </c>
      <c r="J35" s="545">
        <v>0.2</v>
      </c>
      <c r="K35" s="546">
        <v>0.11</v>
      </c>
      <c r="L35" s="271">
        <f t="shared" si="27"/>
        <v>-9.0000000000000011E-2</v>
      </c>
      <c r="M35" s="545"/>
      <c r="N35" s="546"/>
      <c r="O35" s="271">
        <f t="shared" si="28"/>
        <v>0</v>
      </c>
      <c r="P35" s="545"/>
      <c r="Q35" s="546"/>
      <c r="R35" s="271">
        <f t="shared" si="29"/>
        <v>0</v>
      </c>
      <c r="S35" s="545"/>
      <c r="T35" s="546"/>
      <c r="U35" s="271">
        <f t="shared" si="30"/>
        <v>0</v>
      </c>
      <c r="V35" s="545"/>
      <c r="W35" s="546"/>
      <c r="X35" s="271">
        <f t="shared" si="31"/>
        <v>0</v>
      </c>
      <c r="Y35" s="545"/>
      <c r="Z35" s="546"/>
      <c r="AA35" s="271">
        <f t="shared" si="32"/>
        <v>0</v>
      </c>
      <c r="AB35" s="545"/>
      <c r="AC35" s="546"/>
      <c r="AD35" s="271">
        <f t="shared" si="33"/>
        <v>0</v>
      </c>
      <c r="AE35" s="545"/>
      <c r="AF35" s="546"/>
      <c r="AG35" s="271">
        <f t="shared" si="34"/>
        <v>0</v>
      </c>
      <c r="AH35" s="545"/>
      <c r="AI35" s="546"/>
      <c r="AJ35" s="271">
        <f t="shared" si="35"/>
        <v>0</v>
      </c>
      <c r="AK35" s="545"/>
      <c r="AL35" s="546"/>
      <c r="AM35" s="271">
        <f t="shared" si="36"/>
        <v>0</v>
      </c>
      <c r="AN35" s="545"/>
      <c r="AO35" s="546"/>
      <c r="AP35" s="271">
        <f t="shared" si="37"/>
        <v>0</v>
      </c>
      <c r="AQ35" s="545"/>
      <c r="AR35" s="546"/>
      <c r="AS35" s="271">
        <f t="shared" si="38"/>
        <v>0</v>
      </c>
      <c r="AT35" s="545"/>
      <c r="AU35" s="546"/>
      <c r="AV35" s="271">
        <f t="shared" si="39"/>
        <v>0</v>
      </c>
      <c r="AW35" s="545"/>
      <c r="AX35" s="546"/>
      <c r="AY35" s="271">
        <f t="shared" si="40"/>
        <v>0</v>
      </c>
      <c r="AZ35" s="545"/>
      <c r="BA35" s="546"/>
      <c r="BB35" s="271">
        <f t="shared" si="41"/>
        <v>0</v>
      </c>
      <c r="BC35" s="545"/>
      <c r="BD35" s="546"/>
      <c r="BE35" s="271">
        <f t="shared" si="42"/>
        <v>0</v>
      </c>
      <c r="BF35" s="545"/>
      <c r="BG35" s="546"/>
      <c r="BH35" s="271">
        <f t="shared" si="43"/>
        <v>0</v>
      </c>
      <c r="BI35" s="545"/>
      <c r="BJ35" s="546"/>
      <c r="BK35" s="271">
        <f t="shared" si="44"/>
        <v>0</v>
      </c>
      <c r="BL35" s="545"/>
      <c r="BM35" s="546"/>
      <c r="BN35" s="271">
        <f t="shared" si="45"/>
        <v>0</v>
      </c>
      <c r="BO35" s="545"/>
      <c r="BP35" s="546"/>
      <c r="BQ35" s="271">
        <f t="shared" si="46"/>
        <v>0</v>
      </c>
      <c r="BR35" s="280">
        <f>'Analyza citlivosti - AgendovéIS'!N7</f>
        <v>0</v>
      </c>
    </row>
    <row r="36" spans="1:70">
      <c r="A36" s="777"/>
      <c r="B36" s="781"/>
      <c r="C36" s="24" t="s">
        <v>26</v>
      </c>
      <c r="D36" s="272"/>
      <c r="E36" s="273"/>
      <c r="F36" s="274"/>
      <c r="G36" s="547">
        <v>0.2</v>
      </c>
      <c r="H36" s="548">
        <v>0.1</v>
      </c>
      <c r="I36" s="275">
        <f t="shared" si="26"/>
        <v>-0.1</v>
      </c>
      <c r="J36" s="547">
        <v>0.2</v>
      </c>
      <c r="K36" s="548">
        <v>0.11</v>
      </c>
      <c r="L36" s="275">
        <f t="shared" si="27"/>
        <v>-9.0000000000000011E-2</v>
      </c>
      <c r="M36" s="547"/>
      <c r="N36" s="548"/>
      <c r="O36" s="275">
        <f t="shared" si="28"/>
        <v>0</v>
      </c>
      <c r="P36" s="547"/>
      <c r="Q36" s="548"/>
      <c r="R36" s="275">
        <f t="shared" si="29"/>
        <v>0</v>
      </c>
      <c r="S36" s="547"/>
      <c r="T36" s="548"/>
      <c r="U36" s="275">
        <f t="shared" si="30"/>
        <v>0</v>
      </c>
      <c r="V36" s="547"/>
      <c r="W36" s="548"/>
      <c r="X36" s="275">
        <f t="shared" si="31"/>
        <v>0</v>
      </c>
      <c r="Y36" s="547"/>
      <c r="Z36" s="548"/>
      <c r="AA36" s="275">
        <f t="shared" si="32"/>
        <v>0</v>
      </c>
      <c r="AB36" s="547"/>
      <c r="AC36" s="548"/>
      <c r="AD36" s="275">
        <f t="shared" si="33"/>
        <v>0</v>
      </c>
      <c r="AE36" s="547"/>
      <c r="AF36" s="548"/>
      <c r="AG36" s="275">
        <f t="shared" si="34"/>
        <v>0</v>
      </c>
      <c r="AH36" s="547"/>
      <c r="AI36" s="548"/>
      <c r="AJ36" s="275">
        <f t="shared" si="35"/>
        <v>0</v>
      </c>
      <c r="AK36" s="547"/>
      <c r="AL36" s="548"/>
      <c r="AM36" s="275">
        <f t="shared" si="36"/>
        <v>0</v>
      </c>
      <c r="AN36" s="547"/>
      <c r="AO36" s="548"/>
      <c r="AP36" s="275">
        <f t="shared" si="37"/>
        <v>0</v>
      </c>
      <c r="AQ36" s="547"/>
      <c r="AR36" s="548"/>
      <c r="AS36" s="275">
        <f t="shared" si="38"/>
        <v>0</v>
      </c>
      <c r="AT36" s="547"/>
      <c r="AU36" s="548"/>
      <c r="AV36" s="275">
        <f t="shared" si="39"/>
        <v>0</v>
      </c>
      <c r="AW36" s="547"/>
      <c r="AX36" s="548"/>
      <c r="AY36" s="275">
        <f t="shared" si="40"/>
        <v>0</v>
      </c>
      <c r="AZ36" s="547"/>
      <c r="BA36" s="548"/>
      <c r="BB36" s="275">
        <f t="shared" si="41"/>
        <v>0</v>
      </c>
      <c r="BC36" s="547"/>
      <c r="BD36" s="548"/>
      <c r="BE36" s="275">
        <f t="shared" si="42"/>
        <v>0</v>
      </c>
      <c r="BF36" s="547"/>
      <c r="BG36" s="548"/>
      <c r="BH36" s="275">
        <f t="shared" si="43"/>
        <v>0</v>
      </c>
      <c r="BI36" s="547"/>
      <c r="BJ36" s="548"/>
      <c r="BK36" s="275">
        <f t="shared" si="44"/>
        <v>0</v>
      </c>
      <c r="BL36" s="547"/>
      <c r="BM36" s="548"/>
      <c r="BN36" s="275">
        <f t="shared" si="45"/>
        <v>0</v>
      </c>
      <c r="BO36" s="547"/>
      <c r="BP36" s="548"/>
      <c r="BQ36" s="275">
        <f t="shared" si="46"/>
        <v>0</v>
      </c>
    </row>
    <row r="37" spans="1:70">
      <c r="A37" s="777"/>
      <c r="B37" s="781"/>
      <c r="C37" s="24" t="s">
        <v>27</v>
      </c>
      <c r="D37" s="272"/>
      <c r="E37" s="273"/>
      <c r="F37" s="274"/>
      <c r="G37" s="547">
        <v>0.2</v>
      </c>
      <c r="H37" s="548">
        <v>0.1</v>
      </c>
      <c r="I37" s="275">
        <f t="shared" si="26"/>
        <v>-0.1</v>
      </c>
      <c r="J37" s="547">
        <v>0.2</v>
      </c>
      <c r="K37" s="548">
        <v>0.11</v>
      </c>
      <c r="L37" s="275">
        <f t="shared" si="27"/>
        <v>-9.0000000000000011E-2</v>
      </c>
      <c r="M37" s="547"/>
      <c r="N37" s="548"/>
      <c r="O37" s="275">
        <f t="shared" si="28"/>
        <v>0</v>
      </c>
      <c r="P37" s="547"/>
      <c r="Q37" s="548"/>
      <c r="R37" s="275">
        <f t="shared" si="29"/>
        <v>0</v>
      </c>
      <c r="S37" s="547"/>
      <c r="T37" s="548"/>
      <c r="U37" s="275">
        <f t="shared" si="30"/>
        <v>0</v>
      </c>
      <c r="V37" s="547"/>
      <c r="W37" s="548"/>
      <c r="X37" s="275">
        <f t="shared" si="31"/>
        <v>0</v>
      </c>
      <c r="Y37" s="547"/>
      <c r="Z37" s="548"/>
      <c r="AA37" s="275">
        <f t="shared" si="32"/>
        <v>0</v>
      </c>
      <c r="AB37" s="547"/>
      <c r="AC37" s="548"/>
      <c r="AD37" s="275">
        <f t="shared" si="33"/>
        <v>0</v>
      </c>
      <c r="AE37" s="547"/>
      <c r="AF37" s="548"/>
      <c r="AG37" s="275">
        <f t="shared" si="34"/>
        <v>0</v>
      </c>
      <c r="AH37" s="547"/>
      <c r="AI37" s="548"/>
      <c r="AJ37" s="275">
        <f t="shared" si="35"/>
        <v>0</v>
      </c>
      <c r="AK37" s="547"/>
      <c r="AL37" s="548"/>
      <c r="AM37" s="275">
        <f t="shared" si="36"/>
        <v>0</v>
      </c>
      <c r="AN37" s="547"/>
      <c r="AO37" s="548"/>
      <c r="AP37" s="275">
        <f t="shared" si="37"/>
        <v>0</v>
      </c>
      <c r="AQ37" s="547"/>
      <c r="AR37" s="548"/>
      <c r="AS37" s="275">
        <f t="shared" si="38"/>
        <v>0</v>
      </c>
      <c r="AT37" s="547"/>
      <c r="AU37" s="548"/>
      <c r="AV37" s="275">
        <f t="shared" si="39"/>
        <v>0</v>
      </c>
      <c r="AW37" s="547"/>
      <c r="AX37" s="548"/>
      <c r="AY37" s="275">
        <f t="shared" si="40"/>
        <v>0</v>
      </c>
      <c r="AZ37" s="547"/>
      <c r="BA37" s="548"/>
      <c r="BB37" s="275">
        <f t="shared" si="41"/>
        <v>0</v>
      </c>
      <c r="BC37" s="547"/>
      <c r="BD37" s="548"/>
      <c r="BE37" s="275">
        <f t="shared" si="42"/>
        <v>0</v>
      </c>
      <c r="BF37" s="547"/>
      <c r="BG37" s="548"/>
      <c r="BH37" s="275">
        <f t="shared" si="43"/>
        <v>0</v>
      </c>
      <c r="BI37" s="547"/>
      <c r="BJ37" s="548"/>
      <c r="BK37" s="275">
        <f t="shared" si="44"/>
        <v>0</v>
      </c>
      <c r="BL37" s="547"/>
      <c r="BM37" s="548"/>
      <c r="BN37" s="275">
        <f t="shared" si="45"/>
        <v>0</v>
      </c>
      <c r="BO37" s="547"/>
      <c r="BP37" s="548"/>
      <c r="BQ37" s="275">
        <f t="shared" si="46"/>
        <v>0</v>
      </c>
    </row>
    <row r="38" spans="1:70">
      <c r="A38" s="777"/>
      <c r="B38" s="781"/>
      <c r="C38" s="24" t="s">
        <v>28</v>
      </c>
      <c r="D38" s="272"/>
      <c r="E38" s="273"/>
      <c r="F38" s="274"/>
      <c r="G38" s="547">
        <v>0.2</v>
      </c>
      <c r="H38" s="548">
        <v>0.1</v>
      </c>
      <c r="I38" s="275">
        <f t="shared" si="26"/>
        <v>-0.1</v>
      </c>
      <c r="J38" s="547">
        <v>0.2</v>
      </c>
      <c r="K38" s="548">
        <v>0.11</v>
      </c>
      <c r="L38" s="275">
        <f t="shared" si="27"/>
        <v>-9.0000000000000011E-2</v>
      </c>
      <c r="M38" s="547"/>
      <c r="N38" s="548"/>
      <c r="O38" s="275">
        <f t="shared" si="28"/>
        <v>0</v>
      </c>
      <c r="P38" s="547"/>
      <c r="Q38" s="548"/>
      <c r="R38" s="275">
        <f t="shared" si="29"/>
        <v>0</v>
      </c>
      <c r="S38" s="547"/>
      <c r="T38" s="548"/>
      <c r="U38" s="275">
        <f t="shared" si="30"/>
        <v>0</v>
      </c>
      <c r="V38" s="547"/>
      <c r="W38" s="548"/>
      <c r="X38" s="275">
        <f t="shared" si="31"/>
        <v>0</v>
      </c>
      <c r="Y38" s="547"/>
      <c r="Z38" s="548"/>
      <c r="AA38" s="275">
        <f t="shared" si="32"/>
        <v>0</v>
      </c>
      <c r="AB38" s="547"/>
      <c r="AC38" s="548"/>
      <c r="AD38" s="275">
        <f t="shared" si="33"/>
        <v>0</v>
      </c>
      <c r="AE38" s="547"/>
      <c r="AF38" s="548"/>
      <c r="AG38" s="275">
        <f t="shared" si="34"/>
        <v>0</v>
      </c>
      <c r="AH38" s="547"/>
      <c r="AI38" s="548"/>
      <c r="AJ38" s="275">
        <f t="shared" si="35"/>
        <v>0</v>
      </c>
      <c r="AK38" s="547"/>
      <c r="AL38" s="548"/>
      <c r="AM38" s="275">
        <f t="shared" si="36"/>
        <v>0</v>
      </c>
      <c r="AN38" s="547"/>
      <c r="AO38" s="548"/>
      <c r="AP38" s="275">
        <f t="shared" si="37"/>
        <v>0</v>
      </c>
      <c r="AQ38" s="547"/>
      <c r="AR38" s="548"/>
      <c r="AS38" s="275">
        <f t="shared" si="38"/>
        <v>0</v>
      </c>
      <c r="AT38" s="547"/>
      <c r="AU38" s="548"/>
      <c r="AV38" s="275">
        <f t="shared" si="39"/>
        <v>0</v>
      </c>
      <c r="AW38" s="547"/>
      <c r="AX38" s="548"/>
      <c r="AY38" s="275">
        <f t="shared" si="40"/>
        <v>0</v>
      </c>
      <c r="AZ38" s="547"/>
      <c r="BA38" s="548"/>
      <c r="BB38" s="275">
        <f t="shared" si="41"/>
        <v>0</v>
      </c>
      <c r="BC38" s="547"/>
      <c r="BD38" s="548"/>
      <c r="BE38" s="275">
        <f t="shared" si="42"/>
        <v>0</v>
      </c>
      <c r="BF38" s="547"/>
      <c r="BG38" s="548"/>
      <c r="BH38" s="275">
        <f t="shared" si="43"/>
        <v>0</v>
      </c>
      <c r="BI38" s="547"/>
      <c r="BJ38" s="548"/>
      <c r="BK38" s="275">
        <f t="shared" si="44"/>
        <v>0</v>
      </c>
      <c r="BL38" s="547"/>
      <c r="BM38" s="548"/>
      <c r="BN38" s="275">
        <f t="shared" si="45"/>
        <v>0</v>
      </c>
      <c r="BO38" s="547"/>
      <c r="BP38" s="548"/>
      <c r="BQ38" s="275">
        <f t="shared" si="46"/>
        <v>0</v>
      </c>
    </row>
    <row r="39" spans="1:70">
      <c r="A39" s="777"/>
      <c r="B39" s="781"/>
      <c r="C39" s="24" t="s">
        <v>29</v>
      </c>
      <c r="D39" s="272"/>
      <c r="E39" s="273"/>
      <c r="F39" s="274"/>
      <c r="G39" s="547">
        <v>0.2</v>
      </c>
      <c r="H39" s="548">
        <v>0.1</v>
      </c>
      <c r="I39" s="275">
        <f t="shared" si="26"/>
        <v>-0.1</v>
      </c>
      <c r="J39" s="547">
        <v>0.2</v>
      </c>
      <c r="K39" s="548">
        <v>0.11</v>
      </c>
      <c r="L39" s="275">
        <f t="shared" si="27"/>
        <v>-9.0000000000000011E-2</v>
      </c>
      <c r="M39" s="547"/>
      <c r="N39" s="548"/>
      <c r="O39" s="275">
        <f t="shared" si="28"/>
        <v>0</v>
      </c>
      <c r="P39" s="547"/>
      <c r="Q39" s="548"/>
      <c r="R39" s="275">
        <f t="shared" si="29"/>
        <v>0</v>
      </c>
      <c r="S39" s="547"/>
      <c r="T39" s="548"/>
      <c r="U39" s="275">
        <f t="shared" si="30"/>
        <v>0</v>
      </c>
      <c r="V39" s="547"/>
      <c r="W39" s="548"/>
      <c r="X39" s="275">
        <f t="shared" si="31"/>
        <v>0</v>
      </c>
      <c r="Y39" s="547"/>
      <c r="Z39" s="548"/>
      <c r="AA39" s="275">
        <f t="shared" si="32"/>
        <v>0</v>
      </c>
      <c r="AB39" s="547"/>
      <c r="AC39" s="548"/>
      <c r="AD39" s="275">
        <f t="shared" si="33"/>
        <v>0</v>
      </c>
      <c r="AE39" s="547"/>
      <c r="AF39" s="548"/>
      <c r="AG39" s="275">
        <f t="shared" si="34"/>
        <v>0</v>
      </c>
      <c r="AH39" s="547"/>
      <c r="AI39" s="548"/>
      <c r="AJ39" s="275">
        <f t="shared" si="35"/>
        <v>0</v>
      </c>
      <c r="AK39" s="547"/>
      <c r="AL39" s="548"/>
      <c r="AM39" s="275">
        <f t="shared" si="36"/>
        <v>0</v>
      </c>
      <c r="AN39" s="547"/>
      <c r="AO39" s="548"/>
      <c r="AP39" s="275">
        <f t="shared" si="37"/>
        <v>0</v>
      </c>
      <c r="AQ39" s="547"/>
      <c r="AR39" s="548"/>
      <c r="AS39" s="275">
        <f t="shared" si="38"/>
        <v>0</v>
      </c>
      <c r="AT39" s="547"/>
      <c r="AU39" s="548"/>
      <c r="AV39" s="275">
        <f t="shared" si="39"/>
        <v>0</v>
      </c>
      <c r="AW39" s="547"/>
      <c r="AX39" s="548"/>
      <c r="AY39" s="275">
        <f t="shared" si="40"/>
        <v>0</v>
      </c>
      <c r="AZ39" s="547"/>
      <c r="BA39" s="548"/>
      <c r="BB39" s="275">
        <f t="shared" si="41"/>
        <v>0</v>
      </c>
      <c r="BC39" s="547"/>
      <c r="BD39" s="548"/>
      <c r="BE39" s="275">
        <f t="shared" si="42"/>
        <v>0</v>
      </c>
      <c r="BF39" s="547"/>
      <c r="BG39" s="548"/>
      <c r="BH39" s="275">
        <f t="shared" si="43"/>
        <v>0</v>
      </c>
      <c r="BI39" s="547"/>
      <c r="BJ39" s="548"/>
      <c r="BK39" s="275">
        <f t="shared" si="44"/>
        <v>0</v>
      </c>
      <c r="BL39" s="547"/>
      <c r="BM39" s="548"/>
      <c r="BN39" s="275">
        <f t="shared" si="45"/>
        <v>0</v>
      </c>
      <c r="BO39" s="547"/>
      <c r="BP39" s="548"/>
      <c r="BQ39" s="275">
        <f t="shared" si="46"/>
        <v>0</v>
      </c>
    </row>
    <row r="40" spans="1:70">
      <c r="A40" s="777"/>
      <c r="B40" s="781"/>
      <c r="C40" s="24" t="s">
        <v>30</v>
      </c>
      <c r="D40" s="272"/>
      <c r="E40" s="273"/>
      <c r="F40" s="274"/>
      <c r="G40" s="547">
        <v>0.2</v>
      </c>
      <c r="H40" s="548">
        <v>0.1</v>
      </c>
      <c r="I40" s="275">
        <f t="shared" si="26"/>
        <v>-0.1</v>
      </c>
      <c r="J40" s="547">
        <v>0.2</v>
      </c>
      <c r="K40" s="548">
        <v>0.11</v>
      </c>
      <c r="L40" s="275">
        <f t="shared" si="27"/>
        <v>-9.0000000000000011E-2</v>
      </c>
      <c r="M40" s="547"/>
      <c r="N40" s="548"/>
      <c r="O40" s="275">
        <f t="shared" si="28"/>
        <v>0</v>
      </c>
      <c r="P40" s="547"/>
      <c r="Q40" s="548"/>
      <c r="R40" s="275">
        <f t="shared" si="29"/>
        <v>0</v>
      </c>
      <c r="S40" s="547"/>
      <c r="T40" s="548"/>
      <c r="U40" s="275">
        <f t="shared" si="30"/>
        <v>0</v>
      </c>
      <c r="V40" s="547"/>
      <c r="W40" s="548"/>
      <c r="X40" s="275">
        <f t="shared" si="31"/>
        <v>0</v>
      </c>
      <c r="Y40" s="547"/>
      <c r="Z40" s="548"/>
      <c r="AA40" s="275">
        <f t="shared" si="32"/>
        <v>0</v>
      </c>
      <c r="AB40" s="547"/>
      <c r="AC40" s="548"/>
      <c r="AD40" s="275">
        <f t="shared" si="33"/>
        <v>0</v>
      </c>
      <c r="AE40" s="547"/>
      <c r="AF40" s="548"/>
      <c r="AG40" s="275">
        <f t="shared" si="34"/>
        <v>0</v>
      </c>
      <c r="AH40" s="547"/>
      <c r="AI40" s="548"/>
      <c r="AJ40" s="275">
        <f t="shared" si="35"/>
        <v>0</v>
      </c>
      <c r="AK40" s="547"/>
      <c r="AL40" s="548"/>
      <c r="AM40" s="275">
        <f t="shared" si="36"/>
        <v>0</v>
      </c>
      <c r="AN40" s="547"/>
      <c r="AO40" s="548"/>
      <c r="AP40" s="275">
        <f t="shared" si="37"/>
        <v>0</v>
      </c>
      <c r="AQ40" s="547"/>
      <c r="AR40" s="548"/>
      <c r="AS40" s="275">
        <f t="shared" si="38"/>
        <v>0</v>
      </c>
      <c r="AT40" s="547"/>
      <c r="AU40" s="548"/>
      <c r="AV40" s="275">
        <f t="shared" si="39"/>
        <v>0</v>
      </c>
      <c r="AW40" s="547"/>
      <c r="AX40" s="548"/>
      <c r="AY40" s="275">
        <f t="shared" si="40"/>
        <v>0</v>
      </c>
      <c r="AZ40" s="547"/>
      <c r="BA40" s="548"/>
      <c r="BB40" s="275">
        <f t="shared" si="41"/>
        <v>0</v>
      </c>
      <c r="BC40" s="547"/>
      <c r="BD40" s="548"/>
      <c r="BE40" s="275">
        <f t="shared" si="42"/>
        <v>0</v>
      </c>
      <c r="BF40" s="547"/>
      <c r="BG40" s="548"/>
      <c r="BH40" s="275">
        <f t="shared" si="43"/>
        <v>0</v>
      </c>
      <c r="BI40" s="547"/>
      <c r="BJ40" s="548"/>
      <c r="BK40" s="275">
        <f t="shared" si="44"/>
        <v>0</v>
      </c>
      <c r="BL40" s="547"/>
      <c r="BM40" s="548"/>
      <c r="BN40" s="275">
        <f t="shared" si="45"/>
        <v>0</v>
      </c>
      <c r="BO40" s="547"/>
      <c r="BP40" s="548"/>
      <c r="BQ40" s="275">
        <f t="shared" si="46"/>
        <v>0</v>
      </c>
    </row>
    <row r="41" spans="1:70">
      <c r="A41" s="777"/>
      <c r="B41" s="781"/>
      <c r="C41" s="24" t="s">
        <v>31</v>
      </c>
      <c r="D41" s="272"/>
      <c r="E41" s="273"/>
      <c r="F41" s="274"/>
      <c r="G41" s="547">
        <v>0.2</v>
      </c>
      <c r="H41" s="548">
        <v>0.1</v>
      </c>
      <c r="I41" s="275">
        <f t="shared" si="26"/>
        <v>-0.1</v>
      </c>
      <c r="J41" s="547">
        <v>0.2</v>
      </c>
      <c r="K41" s="548">
        <v>0.11</v>
      </c>
      <c r="L41" s="275">
        <f t="shared" si="27"/>
        <v>-9.0000000000000011E-2</v>
      </c>
      <c r="M41" s="547"/>
      <c r="N41" s="548"/>
      <c r="O41" s="275">
        <f t="shared" si="28"/>
        <v>0</v>
      </c>
      <c r="P41" s="547"/>
      <c r="Q41" s="548"/>
      <c r="R41" s="275">
        <f t="shared" si="29"/>
        <v>0</v>
      </c>
      <c r="S41" s="547"/>
      <c r="T41" s="548"/>
      <c r="U41" s="275">
        <f t="shared" si="30"/>
        <v>0</v>
      </c>
      <c r="V41" s="547"/>
      <c r="W41" s="548"/>
      <c r="X41" s="275">
        <f t="shared" si="31"/>
        <v>0</v>
      </c>
      <c r="Y41" s="547"/>
      <c r="Z41" s="548"/>
      <c r="AA41" s="275">
        <f t="shared" si="32"/>
        <v>0</v>
      </c>
      <c r="AB41" s="547"/>
      <c r="AC41" s="548"/>
      <c r="AD41" s="275">
        <f t="shared" si="33"/>
        <v>0</v>
      </c>
      <c r="AE41" s="547"/>
      <c r="AF41" s="548"/>
      <c r="AG41" s="275">
        <f t="shared" si="34"/>
        <v>0</v>
      </c>
      <c r="AH41" s="547"/>
      <c r="AI41" s="548"/>
      <c r="AJ41" s="275">
        <f t="shared" si="35"/>
        <v>0</v>
      </c>
      <c r="AK41" s="547"/>
      <c r="AL41" s="548"/>
      <c r="AM41" s="275">
        <f t="shared" si="36"/>
        <v>0</v>
      </c>
      <c r="AN41" s="547"/>
      <c r="AO41" s="548"/>
      <c r="AP41" s="275">
        <f t="shared" si="37"/>
        <v>0</v>
      </c>
      <c r="AQ41" s="547"/>
      <c r="AR41" s="548"/>
      <c r="AS41" s="275">
        <f t="shared" si="38"/>
        <v>0</v>
      </c>
      <c r="AT41" s="547"/>
      <c r="AU41" s="548"/>
      <c r="AV41" s="275">
        <f t="shared" si="39"/>
        <v>0</v>
      </c>
      <c r="AW41" s="547"/>
      <c r="AX41" s="548"/>
      <c r="AY41" s="275">
        <f t="shared" si="40"/>
        <v>0</v>
      </c>
      <c r="AZ41" s="547"/>
      <c r="BA41" s="548"/>
      <c r="BB41" s="275">
        <f t="shared" si="41"/>
        <v>0</v>
      </c>
      <c r="BC41" s="547"/>
      <c r="BD41" s="548"/>
      <c r="BE41" s="275">
        <f t="shared" si="42"/>
        <v>0</v>
      </c>
      <c r="BF41" s="547"/>
      <c r="BG41" s="548"/>
      <c r="BH41" s="275">
        <f t="shared" si="43"/>
        <v>0</v>
      </c>
      <c r="BI41" s="547"/>
      <c r="BJ41" s="548"/>
      <c r="BK41" s="275">
        <f t="shared" si="44"/>
        <v>0</v>
      </c>
      <c r="BL41" s="547"/>
      <c r="BM41" s="548"/>
      <c r="BN41" s="275">
        <f t="shared" si="45"/>
        <v>0</v>
      </c>
      <c r="BO41" s="547"/>
      <c r="BP41" s="548"/>
      <c r="BQ41" s="275">
        <f t="shared" si="46"/>
        <v>0</v>
      </c>
    </row>
    <row r="42" spans="1:70">
      <c r="A42" s="777"/>
      <c r="B42" s="781"/>
      <c r="C42" s="24" t="s">
        <v>32</v>
      </c>
      <c r="D42" s="272"/>
      <c r="E42" s="273"/>
      <c r="F42" s="274"/>
      <c r="G42" s="547">
        <v>0.2</v>
      </c>
      <c r="H42" s="548">
        <v>0.1</v>
      </c>
      <c r="I42" s="275">
        <f t="shared" si="26"/>
        <v>-0.1</v>
      </c>
      <c r="J42" s="547">
        <v>0.2</v>
      </c>
      <c r="K42" s="548">
        <v>0.11</v>
      </c>
      <c r="L42" s="275">
        <f t="shared" si="27"/>
        <v>-9.0000000000000011E-2</v>
      </c>
      <c r="M42" s="547"/>
      <c r="N42" s="548"/>
      <c r="O42" s="275">
        <f t="shared" si="28"/>
        <v>0</v>
      </c>
      <c r="P42" s="547"/>
      <c r="Q42" s="548"/>
      <c r="R42" s="275">
        <f t="shared" si="29"/>
        <v>0</v>
      </c>
      <c r="S42" s="547"/>
      <c r="T42" s="548"/>
      <c r="U42" s="275">
        <f t="shared" si="30"/>
        <v>0</v>
      </c>
      <c r="V42" s="547"/>
      <c r="W42" s="548"/>
      <c r="X42" s="275">
        <f t="shared" si="31"/>
        <v>0</v>
      </c>
      <c r="Y42" s="547"/>
      <c r="Z42" s="548"/>
      <c r="AA42" s="275">
        <f t="shared" si="32"/>
        <v>0</v>
      </c>
      <c r="AB42" s="547"/>
      <c r="AC42" s="548"/>
      <c r="AD42" s="275">
        <f t="shared" si="33"/>
        <v>0</v>
      </c>
      <c r="AE42" s="547"/>
      <c r="AF42" s="548"/>
      <c r="AG42" s="275">
        <f t="shared" si="34"/>
        <v>0</v>
      </c>
      <c r="AH42" s="547"/>
      <c r="AI42" s="548"/>
      <c r="AJ42" s="275">
        <f t="shared" si="35"/>
        <v>0</v>
      </c>
      <c r="AK42" s="547"/>
      <c r="AL42" s="548"/>
      <c r="AM42" s="275">
        <f t="shared" si="36"/>
        <v>0</v>
      </c>
      <c r="AN42" s="547"/>
      <c r="AO42" s="548"/>
      <c r="AP42" s="275">
        <f t="shared" si="37"/>
        <v>0</v>
      </c>
      <c r="AQ42" s="547"/>
      <c r="AR42" s="548"/>
      <c r="AS42" s="275">
        <f t="shared" si="38"/>
        <v>0</v>
      </c>
      <c r="AT42" s="547"/>
      <c r="AU42" s="548"/>
      <c r="AV42" s="275">
        <f t="shared" si="39"/>
        <v>0</v>
      </c>
      <c r="AW42" s="547"/>
      <c r="AX42" s="548"/>
      <c r="AY42" s="275">
        <f t="shared" si="40"/>
        <v>0</v>
      </c>
      <c r="AZ42" s="547"/>
      <c r="BA42" s="548"/>
      <c r="BB42" s="275">
        <f t="shared" si="41"/>
        <v>0</v>
      </c>
      <c r="BC42" s="547"/>
      <c r="BD42" s="548"/>
      <c r="BE42" s="275">
        <f t="shared" si="42"/>
        <v>0</v>
      </c>
      <c r="BF42" s="547"/>
      <c r="BG42" s="548"/>
      <c r="BH42" s="275">
        <f t="shared" si="43"/>
        <v>0</v>
      </c>
      <c r="BI42" s="547"/>
      <c r="BJ42" s="548"/>
      <c r="BK42" s="275">
        <f t="shared" si="44"/>
        <v>0</v>
      </c>
      <c r="BL42" s="547"/>
      <c r="BM42" s="548"/>
      <c r="BN42" s="275">
        <f t="shared" si="45"/>
        <v>0</v>
      </c>
      <c r="BO42" s="547"/>
      <c r="BP42" s="548"/>
      <c r="BQ42" s="275">
        <f t="shared" si="46"/>
        <v>0</v>
      </c>
    </row>
    <row r="43" spans="1:70">
      <c r="A43" s="777"/>
      <c r="B43" s="781"/>
      <c r="C43" s="24" t="s">
        <v>33</v>
      </c>
      <c r="D43" s="272"/>
      <c r="E43" s="273"/>
      <c r="F43" s="274"/>
      <c r="G43" s="547">
        <v>0.2</v>
      </c>
      <c r="H43" s="548">
        <v>0.1</v>
      </c>
      <c r="I43" s="275">
        <f t="shared" si="26"/>
        <v>-0.1</v>
      </c>
      <c r="J43" s="547">
        <v>0.2</v>
      </c>
      <c r="K43" s="548">
        <v>0.11</v>
      </c>
      <c r="L43" s="275">
        <f t="shared" si="27"/>
        <v>-9.0000000000000011E-2</v>
      </c>
      <c r="M43" s="547"/>
      <c r="N43" s="548"/>
      <c r="O43" s="275">
        <f t="shared" si="28"/>
        <v>0</v>
      </c>
      <c r="P43" s="547"/>
      <c r="Q43" s="548"/>
      <c r="R43" s="275">
        <f t="shared" si="29"/>
        <v>0</v>
      </c>
      <c r="S43" s="547"/>
      <c r="T43" s="548"/>
      <c r="U43" s="275">
        <f t="shared" si="30"/>
        <v>0</v>
      </c>
      <c r="V43" s="547"/>
      <c r="W43" s="548"/>
      <c r="X43" s="275">
        <f t="shared" si="31"/>
        <v>0</v>
      </c>
      <c r="Y43" s="547"/>
      <c r="Z43" s="548"/>
      <c r="AA43" s="275">
        <f t="shared" si="32"/>
        <v>0</v>
      </c>
      <c r="AB43" s="547"/>
      <c r="AC43" s="548"/>
      <c r="AD43" s="275">
        <f t="shared" si="33"/>
        <v>0</v>
      </c>
      <c r="AE43" s="547"/>
      <c r="AF43" s="548"/>
      <c r="AG43" s="275">
        <f t="shared" si="34"/>
        <v>0</v>
      </c>
      <c r="AH43" s="547"/>
      <c r="AI43" s="548"/>
      <c r="AJ43" s="275">
        <f t="shared" si="35"/>
        <v>0</v>
      </c>
      <c r="AK43" s="547"/>
      <c r="AL43" s="548"/>
      <c r="AM43" s="275">
        <f t="shared" si="36"/>
        <v>0</v>
      </c>
      <c r="AN43" s="547"/>
      <c r="AO43" s="548"/>
      <c r="AP43" s="275">
        <f t="shared" si="37"/>
        <v>0</v>
      </c>
      <c r="AQ43" s="547"/>
      <c r="AR43" s="548"/>
      <c r="AS43" s="275">
        <f t="shared" si="38"/>
        <v>0</v>
      </c>
      <c r="AT43" s="547"/>
      <c r="AU43" s="548"/>
      <c r="AV43" s="275">
        <f t="shared" si="39"/>
        <v>0</v>
      </c>
      <c r="AW43" s="547"/>
      <c r="AX43" s="548"/>
      <c r="AY43" s="275">
        <f t="shared" si="40"/>
        <v>0</v>
      </c>
      <c r="AZ43" s="547"/>
      <c r="BA43" s="548"/>
      <c r="BB43" s="275">
        <f t="shared" si="41"/>
        <v>0</v>
      </c>
      <c r="BC43" s="547"/>
      <c r="BD43" s="548"/>
      <c r="BE43" s="275">
        <f t="shared" si="42"/>
        <v>0</v>
      </c>
      <c r="BF43" s="547"/>
      <c r="BG43" s="548"/>
      <c r="BH43" s="275">
        <f t="shared" si="43"/>
        <v>0</v>
      </c>
      <c r="BI43" s="547"/>
      <c r="BJ43" s="548"/>
      <c r="BK43" s="275">
        <f t="shared" si="44"/>
        <v>0</v>
      </c>
      <c r="BL43" s="547"/>
      <c r="BM43" s="548"/>
      <c r="BN43" s="275">
        <f t="shared" si="45"/>
        <v>0</v>
      </c>
      <c r="BO43" s="547"/>
      <c r="BP43" s="548"/>
      <c r="BQ43" s="275">
        <f t="shared" si="46"/>
        <v>0</v>
      </c>
    </row>
    <row r="44" spans="1:70" ht="15.75" thickBot="1">
      <c r="A44" s="778"/>
      <c r="B44" s="782"/>
      <c r="C44" s="263" t="s">
        <v>34</v>
      </c>
      <c r="D44" s="276"/>
      <c r="E44" s="277"/>
      <c r="F44" s="278"/>
      <c r="G44" s="549">
        <v>0.2</v>
      </c>
      <c r="H44" s="550">
        <v>0.1</v>
      </c>
      <c r="I44" s="279">
        <f>H44-G44</f>
        <v>-0.1</v>
      </c>
      <c r="J44" s="549">
        <v>0.2</v>
      </c>
      <c r="K44" s="550">
        <v>0.11</v>
      </c>
      <c r="L44" s="279">
        <f>K44-J44</f>
        <v>-9.0000000000000011E-2</v>
      </c>
      <c r="M44" s="549"/>
      <c r="N44" s="550"/>
      <c r="O44" s="279">
        <f>N44-M44</f>
        <v>0</v>
      </c>
      <c r="P44" s="549"/>
      <c r="Q44" s="550"/>
      <c r="R44" s="279">
        <f>Q44-P44</f>
        <v>0</v>
      </c>
      <c r="S44" s="549"/>
      <c r="T44" s="550"/>
      <c r="U44" s="279">
        <f>T44-S44</f>
        <v>0</v>
      </c>
      <c r="V44" s="549"/>
      <c r="W44" s="550"/>
      <c r="X44" s="279">
        <f>W44-V44</f>
        <v>0</v>
      </c>
      <c r="Y44" s="549"/>
      <c r="Z44" s="550"/>
      <c r="AA44" s="279">
        <f>Z44-Y44</f>
        <v>0</v>
      </c>
      <c r="AB44" s="549"/>
      <c r="AC44" s="550"/>
      <c r="AD44" s="279">
        <f>AC44-AB44</f>
        <v>0</v>
      </c>
      <c r="AE44" s="549"/>
      <c r="AF44" s="550"/>
      <c r="AG44" s="279">
        <f>AF44-AE44</f>
        <v>0</v>
      </c>
      <c r="AH44" s="549"/>
      <c r="AI44" s="550"/>
      <c r="AJ44" s="279">
        <f>AI44-AH44</f>
        <v>0</v>
      </c>
      <c r="AK44" s="549"/>
      <c r="AL44" s="550"/>
      <c r="AM44" s="279">
        <f>AL44-AK44</f>
        <v>0</v>
      </c>
      <c r="AN44" s="549"/>
      <c r="AO44" s="550"/>
      <c r="AP44" s="279">
        <f>AO44-AN44</f>
        <v>0</v>
      </c>
      <c r="AQ44" s="549"/>
      <c r="AR44" s="550"/>
      <c r="AS44" s="279">
        <f>AR44-AQ44</f>
        <v>0</v>
      </c>
      <c r="AT44" s="549"/>
      <c r="AU44" s="550"/>
      <c r="AV44" s="279">
        <f>AU44-AT44</f>
        <v>0</v>
      </c>
      <c r="AW44" s="549"/>
      <c r="AX44" s="550"/>
      <c r="AY44" s="279">
        <f>AX44-AW44</f>
        <v>0</v>
      </c>
      <c r="AZ44" s="549"/>
      <c r="BA44" s="550"/>
      <c r="BB44" s="279">
        <f>BA44-AZ44</f>
        <v>0</v>
      </c>
      <c r="BC44" s="549"/>
      <c r="BD44" s="550"/>
      <c r="BE44" s="279">
        <f>BD44-BC44</f>
        <v>0</v>
      </c>
      <c r="BF44" s="549"/>
      <c r="BG44" s="550"/>
      <c r="BH44" s="279">
        <f>BG44-BF44</f>
        <v>0</v>
      </c>
      <c r="BI44" s="549"/>
      <c r="BJ44" s="550"/>
      <c r="BK44" s="279">
        <f>BJ44-BI44</f>
        <v>0</v>
      </c>
      <c r="BL44" s="549"/>
      <c r="BM44" s="550"/>
      <c r="BN44" s="279">
        <f>BM44-BL44</f>
        <v>0</v>
      </c>
      <c r="BO44" s="549"/>
      <c r="BP44" s="550"/>
      <c r="BQ44" s="279">
        <f>BP44-BO44</f>
        <v>0</v>
      </c>
    </row>
    <row r="45" spans="1:70" s="281" customFormat="1" ht="14.65" customHeight="1">
      <c r="A45" s="776" t="s">
        <v>151</v>
      </c>
      <c r="B45" s="780" t="s">
        <v>38</v>
      </c>
      <c r="C45" s="251" t="s">
        <v>25</v>
      </c>
      <c r="D45" s="446">
        <f t="shared" ref="D45" si="47">SUM(G45,J45,M45,P45,S45,V45,Y45,AB45,AE45,AH45,AK45,AN45,AQ45,AT45,AW45,AZ45,AZ45,BC45,BF45,BI45,BL45,BO45)</f>
        <v>0</v>
      </c>
      <c r="E45" s="447">
        <f t="shared" ref="E45:E64" si="48">SUM(H45,K45,N45,Q45,T45,W45,Z45,AC45,AF45,AI45,AL45,AO45,AR45,AU45,AX45,BA45,BA45,BD45,BG45,BJ45,BM45,BP45)</f>
        <v>0</v>
      </c>
      <c r="F45" s="270">
        <f>D45-E45</f>
        <v>0</v>
      </c>
      <c r="G45" s="545"/>
      <c r="H45" s="546"/>
      <c r="I45" s="271">
        <f t="shared" ref="I45:I53" si="49">H45-G45</f>
        <v>0</v>
      </c>
      <c r="J45" s="545"/>
      <c r="K45" s="546"/>
      <c r="L45" s="271">
        <f t="shared" ref="L45:L53" si="50">K45-J45</f>
        <v>0</v>
      </c>
      <c r="M45" s="545"/>
      <c r="N45" s="546"/>
      <c r="O45" s="271">
        <f t="shared" ref="O45:O53" si="51">N45-M45</f>
        <v>0</v>
      </c>
      <c r="P45" s="545"/>
      <c r="Q45" s="546"/>
      <c r="R45" s="271">
        <f t="shared" ref="R45:R53" si="52">Q45-P45</f>
        <v>0</v>
      </c>
      <c r="S45" s="545"/>
      <c r="T45" s="546"/>
      <c r="U45" s="271">
        <f t="shared" ref="U45:U53" si="53">T45-S45</f>
        <v>0</v>
      </c>
      <c r="V45" s="545">
        <v>0</v>
      </c>
      <c r="W45" s="546">
        <v>0</v>
      </c>
      <c r="X45" s="271">
        <f t="shared" ref="X45:X53" si="54">W45-V45</f>
        <v>0</v>
      </c>
      <c r="Y45" s="545"/>
      <c r="Z45" s="546"/>
      <c r="AA45" s="271">
        <f t="shared" ref="AA45:AA53" si="55">Z45-Y45</f>
        <v>0</v>
      </c>
      <c r="AB45" s="545"/>
      <c r="AC45" s="546"/>
      <c r="AD45" s="271">
        <f t="shared" ref="AD45:AD53" si="56">AC45-AB45</f>
        <v>0</v>
      </c>
      <c r="AE45" s="545"/>
      <c r="AF45" s="546"/>
      <c r="AG45" s="271">
        <f t="shared" ref="AG45:AG53" si="57">AF45-AE45</f>
        <v>0</v>
      </c>
      <c r="AH45" s="545"/>
      <c r="AI45" s="546"/>
      <c r="AJ45" s="271">
        <f t="shared" ref="AJ45:AJ53" si="58">AI45-AH45</f>
        <v>0</v>
      </c>
      <c r="AK45" s="545">
        <v>0</v>
      </c>
      <c r="AL45" s="546">
        <v>0</v>
      </c>
      <c r="AM45" s="271">
        <f t="shared" ref="AM45:AM53" si="59">AL45-AK45</f>
        <v>0</v>
      </c>
      <c r="AN45" s="545"/>
      <c r="AO45" s="546"/>
      <c r="AP45" s="271">
        <f t="shared" ref="AP45:AP53" si="60">AO45-AN45</f>
        <v>0</v>
      </c>
      <c r="AQ45" s="545"/>
      <c r="AR45" s="546"/>
      <c r="AS45" s="271">
        <f t="shared" ref="AS45:AS53" si="61">AR45-AQ45</f>
        <v>0</v>
      </c>
      <c r="AT45" s="545"/>
      <c r="AU45" s="546"/>
      <c r="AV45" s="271">
        <f t="shared" ref="AV45:AV53" si="62">AU45-AT45</f>
        <v>0</v>
      </c>
      <c r="AW45" s="545"/>
      <c r="AX45" s="546"/>
      <c r="AY45" s="271">
        <f t="shared" ref="AY45:AY53" si="63">AX45-AW45</f>
        <v>0</v>
      </c>
      <c r="AZ45" s="545">
        <v>0</v>
      </c>
      <c r="BA45" s="546">
        <v>0</v>
      </c>
      <c r="BB45" s="271">
        <f t="shared" ref="BB45:BB53" si="64">BA45-AZ45</f>
        <v>0</v>
      </c>
      <c r="BC45" s="545"/>
      <c r="BD45" s="546"/>
      <c r="BE45" s="271">
        <f t="shared" ref="BE45:BE53" si="65">BD45-BC45</f>
        <v>0</v>
      </c>
      <c r="BF45" s="545"/>
      <c r="BG45" s="546"/>
      <c r="BH45" s="271">
        <f t="shared" ref="BH45:BH53" si="66">BG45-BF45</f>
        <v>0</v>
      </c>
      <c r="BI45" s="545"/>
      <c r="BJ45" s="546"/>
      <c r="BK45" s="271">
        <f t="shared" ref="BK45:BK53" si="67">BJ45-BI45</f>
        <v>0</v>
      </c>
      <c r="BL45" s="545"/>
      <c r="BM45" s="546"/>
      <c r="BN45" s="271">
        <f t="shared" ref="BN45:BN53" si="68">BM45-BL45</f>
        <v>0</v>
      </c>
      <c r="BO45" s="545">
        <v>0</v>
      </c>
      <c r="BP45" s="546">
        <v>0</v>
      </c>
      <c r="BQ45" s="271">
        <f t="shared" si="46"/>
        <v>0</v>
      </c>
      <c r="BR45" s="280">
        <f>'Analyza citlivosti - AgendovéIS'!Q7</f>
        <v>0</v>
      </c>
    </row>
    <row r="46" spans="1:70">
      <c r="A46" s="777"/>
      <c r="B46" s="781"/>
      <c r="C46" s="24" t="s">
        <v>26</v>
      </c>
      <c r="D46" s="448">
        <f t="shared" ref="D46:D61" si="69">SUM(G46,J46,M46,P46,S46,V46,Y46,AB46,AE46,AH46,AK46,AN46,AQ46,AT46,AW46,AZ46,AZ46,BC46,BF46,BI46,BL46,BO46)</f>
        <v>0</v>
      </c>
      <c r="E46" s="449">
        <f t="shared" si="48"/>
        <v>0</v>
      </c>
      <c r="F46" s="274">
        <f t="shared" ref="F46:F54" si="70">D46-E46</f>
        <v>0</v>
      </c>
      <c r="G46" s="547"/>
      <c r="H46" s="548"/>
      <c r="I46" s="275">
        <f t="shared" si="49"/>
        <v>0</v>
      </c>
      <c r="J46" s="547"/>
      <c r="K46" s="548"/>
      <c r="L46" s="275">
        <f t="shared" si="50"/>
        <v>0</v>
      </c>
      <c r="M46" s="547"/>
      <c r="N46" s="548"/>
      <c r="O46" s="275">
        <f t="shared" si="51"/>
        <v>0</v>
      </c>
      <c r="P46" s="547"/>
      <c r="Q46" s="548"/>
      <c r="R46" s="275">
        <f t="shared" si="52"/>
        <v>0</v>
      </c>
      <c r="S46" s="547"/>
      <c r="T46" s="548"/>
      <c r="U46" s="275">
        <f t="shared" si="53"/>
        <v>0</v>
      </c>
      <c r="V46" s="547">
        <v>0</v>
      </c>
      <c r="W46" s="548">
        <v>0</v>
      </c>
      <c r="X46" s="275">
        <f t="shared" si="54"/>
        <v>0</v>
      </c>
      <c r="Y46" s="547"/>
      <c r="Z46" s="548"/>
      <c r="AA46" s="275">
        <f t="shared" si="55"/>
        <v>0</v>
      </c>
      <c r="AB46" s="547"/>
      <c r="AC46" s="548"/>
      <c r="AD46" s="275">
        <f t="shared" si="56"/>
        <v>0</v>
      </c>
      <c r="AE46" s="547"/>
      <c r="AF46" s="548"/>
      <c r="AG46" s="275">
        <f t="shared" si="57"/>
        <v>0</v>
      </c>
      <c r="AH46" s="547"/>
      <c r="AI46" s="548"/>
      <c r="AJ46" s="275">
        <f t="shared" si="58"/>
        <v>0</v>
      </c>
      <c r="AK46" s="547">
        <v>0</v>
      </c>
      <c r="AL46" s="548">
        <v>0</v>
      </c>
      <c r="AM46" s="275">
        <f t="shared" si="59"/>
        <v>0</v>
      </c>
      <c r="AN46" s="547"/>
      <c r="AO46" s="548"/>
      <c r="AP46" s="275">
        <f t="shared" si="60"/>
        <v>0</v>
      </c>
      <c r="AQ46" s="547"/>
      <c r="AR46" s="548"/>
      <c r="AS46" s="275">
        <f t="shared" si="61"/>
        <v>0</v>
      </c>
      <c r="AT46" s="547"/>
      <c r="AU46" s="548"/>
      <c r="AV46" s="275">
        <f t="shared" si="62"/>
        <v>0</v>
      </c>
      <c r="AW46" s="547"/>
      <c r="AX46" s="548"/>
      <c r="AY46" s="275">
        <f t="shared" si="63"/>
        <v>0</v>
      </c>
      <c r="AZ46" s="547">
        <v>0</v>
      </c>
      <c r="BA46" s="548">
        <v>0</v>
      </c>
      <c r="BB46" s="275">
        <f t="shared" si="64"/>
        <v>0</v>
      </c>
      <c r="BC46" s="547"/>
      <c r="BD46" s="548"/>
      <c r="BE46" s="275">
        <f t="shared" si="65"/>
        <v>0</v>
      </c>
      <c r="BF46" s="547"/>
      <c r="BG46" s="548"/>
      <c r="BH46" s="275">
        <f t="shared" si="66"/>
        <v>0</v>
      </c>
      <c r="BI46" s="547"/>
      <c r="BJ46" s="548"/>
      <c r="BK46" s="275">
        <f t="shared" si="67"/>
        <v>0</v>
      </c>
      <c r="BL46" s="547"/>
      <c r="BM46" s="548"/>
      <c r="BN46" s="275">
        <f t="shared" si="68"/>
        <v>0</v>
      </c>
      <c r="BO46" s="547">
        <v>0</v>
      </c>
      <c r="BP46" s="548">
        <v>0</v>
      </c>
      <c r="BQ46" s="275">
        <f t="shared" si="46"/>
        <v>0</v>
      </c>
    </row>
    <row r="47" spans="1:70">
      <c r="A47" s="777"/>
      <c r="B47" s="781"/>
      <c r="C47" s="24" t="s">
        <v>27</v>
      </c>
      <c r="D47" s="448">
        <f t="shared" si="69"/>
        <v>0</v>
      </c>
      <c r="E47" s="449">
        <f t="shared" si="48"/>
        <v>0</v>
      </c>
      <c r="F47" s="274">
        <f t="shared" si="70"/>
        <v>0</v>
      </c>
      <c r="G47" s="547"/>
      <c r="H47" s="548"/>
      <c r="I47" s="275">
        <f t="shared" si="49"/>
        <v>0</v>
      </c>
      <c r="J47" s="547"/>
      <c r="K47" s="548"/>
      <c r="L47" s="275">
        <f t="shared" si="50"/>
        <v>0</v>
      </c>
      <c r="M47" s="547"/>
      <c r="N47" s="548"/>
      <c r="O47" s="275">
        <f t="shared" si="51"/>
        <v>0</v>
      </c>
      <c r="P47" s="547"/>
      <c r="Q47" s="548"/>
      <c r="R47" s="275">
        <f t="shared" si="52"/>
        <v>0</v>
      </c>
      <c r="S47" s="547"/>
      <c r="T47" s="548"/>
      <c r="U47" s="275">
        <f t="shared" si="53"/>
        <v>0</v>
      </c>
      <c r="V47" s="547">
        <v>0</v>
      </c>
      <c r="W47" s="548">
        <v>0</v>
      </c>
      <c r="X47" s="275">
        <f t="shared" si="54"/>
        <v>0</v>
      </c>
      <c r="Y47" s="547"/>
      <c r="Z47" s="548"/>
      <c r="AA47" s="275">
        <f t="shared" si="55"/>
        <v>0</v>
      </c>
      <c r="AB47" s="547"/>
      <c r="AC47" s="548"/>
      <c r="AD47" s="275">
        <f t="shared" si="56"/>
        <v>0</v>
      </c>
      <c r="AE47" s="547"/>
      <c r="AF47" s="548"/>
      <c r="AG47" s="275">
        <f t="shared" si="57"/>
        <v>0</v>
      </c>
      <c r="AH47" s="547"/>
      <c r="AI47" s="548"/>
      <c r="AJ47" s="275">
        <f t="shared" si="58"/>
        <v>0</v>
      </c>
      <c r="AK47" s="547">
        <v>0</v>
      </c>
      <c r="AL47" s="548">
        <v>0</v>
      </c>
      <c r="AM47" s="275">
        <f t="shared" si="59"/>
        <v>0</v>
      </c>
      <c r="AN47" s="547"/>
      <c r="AO47" s="548"/>
      <c r="AP47" s="275">
        <f t="shared" si="60"/>
        <v>0</v>
      </c>
      <c r="AQ47" s="547"/>
      <c r="AR47" s="548"/>
      <c r="AS47" s="275">
        <f t="shared" si="61"/>
        <v>0</v>
      </c>
      <c r="AT47" s="547"/>
      <c r="AU47" s="548"/>
      <c r="AV47" s="275">
        <f t="shared" si="62"/>
        <v>0</v>
      </c>
      <c r="AW47" s="547"/>
      <c r="AX47" s="548"/>
      <c r="AY47" s="275">
        <f t="shared" si="63"/>
        <v>0</v>
      </c>
      <c r="AZ47" s="547">
        <v>0</v>
      </c>
      <c r="BA47" s="548">
        <v>0</v>
      </c>
      <c r="BB47" s="275">
        <f t="shared" si="64"/>
        <v>0</v>
      </c>
      <c r="BC47" s="547"/>
      <c r="BD47" s="548"/>
      <c r="BE47" s="275">
        <f t="shared" si="65"/>
        <v>0</v>
      </c>
      <c r="BF47" s="547"/>
      <c r="BG47" s="548"/>
      <c r="BH47" s="275">
        <f t="shared" si="66"/>
        <v>0</v>
      </c>
      <c r="BI47" s="547"/>
      <c r="BJ47" s="548"/>
      <c r="BK47" s="275">
        <f t="shared" si="67"/>
        <v>0</v>
      </c>
      <c r="BL47" s="547"/>
      <c r="BM47" s="548"/>
      <c r="BN47" s="275">
        <f t="shared" si="68"/>
        <v>0</v>
      </c>
      <c r="BO47" s="547">
        <v>0</v>
      </c>
      <c r="BP47" s="548">
        <v>0</v>
      </c>
      <c r="BQ47" s="275">
        <f t="shared" si="46"/>
        <v>0</v>
      </c>
    </row>
    <row r="48" spans="1:70">
      <c r="A48" s="777"/>
      <c r="B48" s="781"/>
      <c r="C48" s="24" t="s">
        <v>28</v>
      </c>
      <c r="D48" s="448">
        <f t="shared" si="69"/>
        <v>0</v>
      </c>
      <c r="E48" s="449">
        <f t="shared" si="48"/>
        <v>0</v>
      </c>
      <c r="F48" s="274">
        <f t="shared" si="70"/>
        <v>0</v>
      </c>
      <c r="G48" s="547"/>
      <c r="H48" s="548"/>
      <c r="I48" s="275">
        <f t="shared" si="49"/>
        <v>0</v>
      </c>
      <c r="J48" s="547"/>
      <c r="K48" s="548"/>
      <c r="L48" s="275">
        <f t="shared" si="50"/>
        <v>0</v>
      </c>
      <c r="M48" s="547"/>
      <c r="N48" s="548"/>
      <c r="O48" s="275">
        <f t="shared" si="51"/>
        <v>0</v>
      </c>
      <c r="P48" s="547"/>
      <c r="Q48" s="548"/>
      <c r="R48" s="275">
        <f t="shared" si="52"/>
        <v>0</v>
      </c>
      <c r="S48" s="547"/>
      <c r="T48" s="548"/>
      <c r="U48" s="275">
        <f t="shared" si="53"/>
        <v>0</v>
      </c>
      <c r="V48" s="547">
        <v>0</v>
      </c>
      <c r="W48" s="548">
        <v>0</v>
      </c>
      <c r="X48" s="275">
        <f t="shared" si="54"/>
        <v>0</v>
      </c>
      <c r="Y48" s="547"/>
      <c r="Z48" s="548"/>
      <c r="AA48" s="275">
        <f t="shared" si="55"/>
        <v>0</v>
      </c>
      <c r="AB48" s="547"/>
      <c r="AC48" s="548"/>
      <c r="AD48" s="275">
        <f t="shared" si="56"/>
        <v>0</v>
      </c>
      <c r="AE48" s="547"/>
      <c r="AF48" s="548"/>
      <c r="AG48" s="275">
        <f t="shared" si="57"/>
        <v>0</v>
      </c>
      <c r="AH48" s="547"/>
      <c r="AI48" s="548"/>
      <c r="AJ48" s="275">
        <f t="shared" si="58"/>
        <v>0</v>
      </c>
      <c r="AK48" s="547">
        <v>0</v>
      </c>
      <c r="AL48" s="548">
        <v>0</v>
      </c>
      <c r="AM48" s="275">
        <f t="shared" si="59"/>
        <v>0</v>
      </c>
      <c r="AN48" s="547"/>
      <c r="AO48" s="548"/>
      <c r="AP48" s="275">
        <f t="shared" si="60"/>
        <v>0</v>
      </c>
      <c r="AQ48" s="547"/>
      <c r="AR48" s="548"/>
      <c r="AS48" s="275">
        <f t="shared" si="61"/>
        <v>0</v>
      </c>
      <c r="AT48" s="547"/>
      <c r="AU48" s="548"/>
      <c r="AV48" s="275">
        <f t="shared" si="62"/>
        <v>0</v>
      </c>
      <c r="AW48" s="547"/>
      <c r="AX48" s="548"/>
      <c r="AY48" s="275">
        <f t="shared" si="63"/>
        <v>0</v>
      </c>
      <c r="AZ48" s="547">
        <v>0</v>
      </c>
      <c r="BA48" s="548">
        <v>0</v>
      </c>
      <c r="BB48" s="275">
        <f t="shared" si="64"/>
        <v>0</v>
      </c>
      <c r="BC48" s="547"/>
      <c r="BD48" s="548"/>
      <c r="BE48" s="275">
        <f t="shared" si="65"/>
        <v>0</v>
      </c>
      <c r="BF48" s="547"/>
      <c r="BG48" s="548"/>
      <c r="BH48" s="275">
        <f t="shared" si="66"/>
        <v>0</v>
      </c>
      <c r="BI48" s="547"/>
      <c r="BJ48" s="548"/>
      <c r="BK48" s="275">
        <f t="shared" si="67"/>
        <v>0</v>
      </c>
      <c r="BL48" s="547"/>
      <c r="BM48" s="548"/>
      <c r="BN48" s="275">
        <f t="shared" si="68"/>
        <v>0</v>
      </c>
      <c r="BO48" s="547">
        <v>0</v>
      </c>
      <c r="BP48" s="548">
        <v>0</v>
      </c>
      <c r="BQ48" s="275">
        <f t="shared" si="46"/>
        <v>0</v>
      </c>
    </row>
    <row r="49" spans="1:70">
      <c r="A49" s="777"/>
      <c r="B49" s="781"/>
      <c r="C49" s="24" t="s">
        <v>29</v>
      </c>
      <c r="D49" s="448">
        <f t="shared" si="69"/>
        <v>0</v>
      </c>
      <c r="E49" s="449">
        <f t="shared" si="48"/>
        <v>0</v>
      </c>
      <c r="F49" s="274">
        <f t="shared" si="70"/>
        <v>0</v>
      </c>
      <c r="G49" s="547"/>
      <c r="H49" s="548"/>
      <c r="I49" s="275">
        <f t="shared" si="49"/>
        <v>0</v>
      </c>
      <c r="J49" s="547"/>
      <c r="K49" s="548"/>
      <c r="L49" s="275">
        <f t="shared" si="50"/>
        <v>0</v>
      </c>
      <c r="M49" s="547"/>
      <c r="N49" s="548"/>
      <c r="O49" s="275">
        <f t="shared" si="51"/>
        <v>0</v>
      </c>
      <c r="P49" s="547"/>
      <c r="Q49" s="548"/>
      <c r="R49" s="275">
        <f t="shared" si="52"/>
        <v>0</v>
      </c>
      <c r="S49" s="547"/>
      <c r="T49" s="548"/>
      <c r="U49" s="275">
        <f t="shared" si="53"/>
        <v>0</v>
      </c>
      <c r="V49" s="547">
        <v>0</v>
      </c>
      <c r="W49" s="548">
        <v>0</v>
      </c>
      <c r="X49" s="275">
        <f t="shared" si="54"/>
        <v>0</v>
      </c>
      <c r="Y49" s="547"/>
      <c r="Z49" s="548"/>
      <c r="AA49" s="275">
        <f t="shared" si="55"/>
        <v>0</v>
      </c>
      <c r="AB49" s="547"/>
      <c r="AC49" s="548"/>
      <c r="AD49" s="275">
        <f t="shared" si="56"/>
        <v>0</v>
      </c>
      <c r="AE49" s="547"/>
      <c r="AF49" s="548"/>
      <c r="AG49" s="275">
        <f t="shared" si="57"/>
        <v>0</v>
      </c>
      <c r="AH49" s="547"/>
      <c r="AI49" s="548"/>
      <c r="AJ49" s="275">
        <f t="shared" si="58"/>
        <v>0</v>
      </c>
      <c r="AK49" s="547">
        <v>0</v>
      </c>
      <c r="AL49" s="548">
        <v>0</v>
      </c>
      <c r="AM49" s="275">
        <f t="shared" si="59"/>
        <v>0</v>
      </c>
      <c r="AN49" s="547"/>
      <c r="AO49" s="548"/>
      <c r="AP49" s="275">
        <f t="shared" si="60"/>
        <v>0</v>
      </c>
      <c r="AQ49" s="547"/>
      <c r="AR49" s="548"/>
      <c r="AS49" s="275">
        <f t="shared" si="61"/>
        <v>0</v>
      </c>
      <c r="AT49" s="547"/>
      <c r="AU49" s="548"/>
      <c r="AV49" s="275">
        <f t="shared" si="62"/>
        <v>0</v>
      </c>
      <c r="AW49" s="547"/>
      <c r="AX49" s="548"/>
      <c r="AY49" s="275">
        <f t="shared" si="63"/>
        <v>0</v>
      </c>
      <c r="AZ49" s="547">
        <v>0</v>
      </c>
      <c r="BA49" s="548">
        <v>0</v>
      </c>
      <c r="BB49" s="275">
        <f t="shared" si="64"/>
        <v>0</v>
      </c>
      <c r="BC49" s="547"/>
      <c r="BD49" s="548"/>
      <c r="BE49" s="275">
        <f t="shared" si="65"/>
        <v>0</v>
      </c>
      <c r="BF49" s="547"/>
      <c r="BG49" s="548"/>
      <c r="BH49" s="275">
        <f t="shared" si="66"/>
        <v>0</v>
      </c>
      <c r="BI49" s="547"/>
      <c r="BJ49" s="548"/>
      <c r="BK49" s="275">
        <f t="shared" si="67"/>
        <v>0</v>
      </c>
      <c r="BL49" s="547"/>
      <c r="BM49" s="548"/>
      <c r="BN49" s="275">
        <f t="shared" si="68"/>
        <v>0</v>
      </c>
      <c r="BO49" s="547">
        <v>0</v>
      </c>
      <c r="BP49" s="548">
        <v>0</v>
      </c>
      <c r="BQ49" s="275">
        <f t="shared" si="46"/>
        <v>0</v>
      </c>
    </row>
    <row r="50" spans="1:70">
      <c r="A50" s="777"/>
      <c r="B50" s="781"/>
      <c r="C50" s="24" t="s">
        <v>30</v>
      </c>
      <c r="D50" s="448">
        <f t="shared" si="69"/>
        <v>0</v>
      </c>
      <c r="E50" s="449">
        <f t="shared" si="48"/>
        <v>0</v>
      </c>
      <c r="F50" s="274">
        <f t="shared" si="70"/>
        <v>0</v>
      </c>
      <c r="G50" s="547"/>
      <c r="H50" s="548"/>
      <c r="I50" s="275">
        <f t="shared" si="49"/>
        <v>0</v>
      </c>
      <c r="J50" s="547"/>
      <c r="K50" s="548"/>
      <c r="L50" s="275">
        <f t="shared" si="50"/>
        <v>0</v>
      </c>
      <c r="M50" s="547"/>
      <c r="N50" s="548"/>
      <c r="O50" s="275">
        <f t="shared" si="51"/>
        <v>0</v>
      </c>
      <c r="P50" s="547"/>
      <c r="Q50" s="548"/>
      <c r="R50" s="275">
        <f t="shared" si="52"/>
        <v>0</v>
      </c>
      <c r="S50" s="547"/>
      <c r="T50" s="548"/>
      <c r="U50" s="275">
        <f t="shared" si="53"/>
        <v>0</v>
      </c>
      <c r="V50" s="547">
        <v>0</v>
      </c>
      <c r="W50" s="548">
        <v>0</v>
      </c>
      <c r="X50" s="275">
        <f t="shared" si="54"/>
        <v>0</v>
      </c>
      <c r="Y50" s="547"/>
      <c r="Z50" s="548"/>
      <c r="AA50" s="275">
        <f t="shared" si="55"/>
        <v>0</v>
      </c>
      <c r="AB50" s="547"/>
      <c r="AC50" s="548"/>
      <c r="AD50" s="275">
        <f t="shared" si="56"/>
        <v>0</v>
      </c>
      <c r="AE50" s="547"/>
      <c r="AF50" s="548"/>
      <c r="AG50" s="275">
        <f t="shared" si="57"/>
        <v>0</v>
      </c>
      <c r="AH50" s="547"/>
      <c r="AI50" s="548"/>
      <c r="AJ50" s="275">
        <f t="shared" si="58"/>
        <v>0</v>
      </c>
      <c r="AK50" s="547">
        <v>0</v>
      </c>
      <c r="AL50" s="548">
        <v>0</v>
      </c>
      <c r="AM50" s="275">
        <f t="shared" si="59"/>
        <v>0</v>
      </c>
      <c r="AN50" s="547"/>
      <c r="AO50" s="548"/>
      <c r="AP50" s="275">
        <f t="shared" si="60"/>
        <v>0</v>
      </c>
      <c r="AQ50" s="547"/>
      <c r="AR50" s="548"/>
      <c r="AS50" s="275">
        <f t="shared" si="61"/>
        <v>0</v>
      </c>
      <c r="AT50" s="547"/>
      <c r="AU50" s="548"/>
      <c r="AV50" s="275">
        <f t="shared" si="62"/>
        <v>0</v>
      </c>
      <c r="AW50" s="547"/>
      <c r="AX50" s="548"/>
      <c r="AY50" s="275">
        <f t="shared" si="63"/>
        <v>0</v>
      </c>
      <c r="AZ50" s="547">
        <v>0</v>
      </c>
      <c r="BA50" s="548">
        <v>0</v>
      </c>
      <c r="BB50" s="275">
        <f t="shared" si="64"/>
        <v>0</v>
      </c>
      <c r="BC50" s="547"/>
      <c r="BD50" s="548"/>
      <c r="BE50" s="275">
        <f t="shared" si="65"/>
        <v>0</v>
      </c>
      <c r="BF50" s="547"/>
      <c r="BG50" s="548"/>
      <c r="BH50" s="275">
        <f t="shared" si="66"/>
        <v>0</v>
      </c>
      <c r="BI50" s="547"/>
      <c r="BJ50" s="548"/>
      <c r="BK50" s="275">
        <f t="shared" si="67"/>
        <v>0</v>
      </c>
      <c r="BL50" s="547"/>
      <c r="BM50" s="548"/>
      <c r="BN50" s="275">
        <f t="shared" si="68"/>
        <v>0</v>
      </c>
      <c r="BO50" s="547">
        <v>0</v>
      </c>
      <c r="BP50" s="548">
        <v>0</v>
      </c>
      <c r="BQ50" s="275">
        <f t="shared" si="46"/>
        <v>0</v>
      </c>
    </row>
    <row r="51" spans="1:70">
      <c r="A51" s="777"/>
      <c r="B51" s="781"/>
      <c r="C51" s="24" t="s">
        <v>31</v>
      </c>
      <c r="D51" s="448">
        <f t="shared" si="69"/>
        <v>0</v>
      </c>
      <c r="E51" s="449">
        <f t="shared" si="48"/>
        <v>0</v>
      </c>
      <c r="F51" s="274">
        <f t="shared" si="70"/>
        <v>0</v>
      </c>
      <c r="G51" s="547"/>
      <c r="H51" s="548"/>
      <c r="I51" s="275">
        <f t="shared" si="49"/>
        <v>0</v>
      </c>
      <c r="J51" s="547"/>
      <c r="K51" s="548"/>
      <c r="L51" s="275">
        <f t="shared" si="50"/>
        <v>0</v>
      </c>
      <c r="M51" s="547"/>
      <c r="N51" s="548"/>
      <c r="O51" s="275">
        <f t="shared" si="51"/>
        <v>0</v>
      </c>
      <c r="P51" s="547"/>
      <c r="Q51" s="548"/>
      <c r="R51" s="275">
        <f t="shared" si="52"/>
        <v>0</v>
      </c>
      <c r="S51" s="547"/>
      <c r="T51" s="548"/>
      <c r="U51" s="275">
        <f t="shared" si="53"/>
        <v>0</v>
      </c>
      <c r="V51" s="547">
        <v>0</v>
      </c>
      <c r="W51" s="548">
        <v>0</v>
      </c>
      <c r="X51" s="275">
        <f t="shared" si="54"/>
        <v>0</v>
      </c>
      <c r="Y51" s="547"/>
      <c r="Z51" s="548"/>
      <c r="AA51" s="275">
        <f t="shared" si="55"/>
        <v>0</v>
      </c>
      <c r="AB51" s="547"/>
      <c r="AC51" s="548"/>
      <c r="AD51" s="275">
        <f t="shared" si="56"/>
        <v>0</v>
      </c>
      <c r="AE51" s="547"/>
      <c r="AF51" s="548"/>
      <c r="AG51" s="275">
        <f t="shared" si="57"/>
        <v>0</v>
      </c>
      <c r="AH51" s="547"/>
      <c r="AI51" s="548"/>
      <c r="AJ51" s="275">
        <f t="shared" si="58"/>
        <v>0</v>
      </c>
      <c r="AK51" s="547">
        <v>0</v>
      </c>
      <c r="AL51" s="548">
        <v>0</v>
      </c>
      <c r="AM51" s="275">
        <f t="shared" si="59"/>
        <v>0</v>
      </c>
      <c r="AN51" s="547"/>
      <c r="AO51" s="548"/>
      <c r="AP51" s="275">
        <f t="shared" si="60"/>
        <v>0</v>
      </c>
      <c r="AQ51" s="547"/>
      <c r="AR51" s="548"/>
      <c r="AS51" s="275">
        <f t="shared" si="61"/>
        <v>0</v>
      </c>
      <c r="AT51" s="547"/>
      <c r="AU51" s="548"/>
      <c r="AV51" s="275">
        <f t="shared" si="62"/>
        <v>0</v>
      </c>
      <c r="AW51" s="547"/>
      <c r="AX51" s="548"/>
      <c r="AY51" s="275">
        <f t="shared" si="63"/>
        <v>0</v>
      </c>
      <c r="AZ51" s="547">
        <v>0</v>
      </c>
      <c r="BA51" s="548">
        <v>0</v>
      </c>
      <c r="BB51" s="275">
        <f t="shared" si="64"/>
        <v>0</v>
      </c>
      <c r="BC51" s="547"/>
      <c r="BD51" s="548"/>
      <c r="BE51" s="275">
        <f t="shared" si="65"/>
        <v>0</v>
      </c>
      <c r="BF51" s="547"/>
      <c r="BG51" s="548"/>
      <c r="BH51" s="275">
        <f t="shared" si="66"/>
        <v>0</v>
      </c>
      <c r="BI51" s="547"/>
      <c r="BJ51" s="548"/>
      <c r="BK51" s="275">
        <f t="shared" si="67"/>
        <v>0</v>
      </c>
      <c r="BL51" s="547"/>
      <c r="BM51" s="548"/>
      <c r="BN51" s="275">
        <f t="shared" si="68"/>
        <v>0</v>
      </c>
      <c r="BO51" s="547">
        <v>0</v>
      </c>
      <c r="BP51" s="548">
        <v>0</v>
      </c>
      <c r="BQ51" s="275">
        <f t="shared" si="46"/>
        <v>0</v>
      </c>
    </row>
    <row r="52" spans="1:70">
      <c r="A52" s="777"/>
      <c r="B52" s="781"/>
      <c r="C52" s="24" t="s">
        <v>32</v>
      </c>
      <c r="D52" s="448">
        <f t="shared" si="69"/>
        <v>0</v>
      </c>
      <c r="E52" s="449">
        <f t="shared" si="48"/>
        <v>0</v>
      </c>
      <c r="F52" s="274">
        <f t="shared" si="70"/>
        <v>0</v>
      </c>
      <c r="G52" s="547"/>
      <c r="H52" s="548"/>
      <c r="I52" s="275">
        <f t="shared" si="49"/>
        <v>0</v>
      </c>
      <c r="J52" s="547"/>
      <c r="K52" s="548"/>
      <c r="L52" s="275">
        <f t="shared" si="50"/>
        <v>0</v>
      </c>
      <c r="M52" s="547"/>
      <c r="N52" s="548"/>
      <c r="O52" s="275">
        <f t="shared" si="51"/>
        <v>0</v>
      </c>
      <c r="P52" s="547"/>
      <c r="Q52" s="548"/>
      <c r="R52" s="275">
        <f t="shared" si="52"/>
        <v>0</v>
      </c>
      <c r="S52" s="547"/>
      <c r="T52" s="548"/>
      <c r="U52" s="275">
        <f t="shared" si="53"/>
        <v>0</v>
      </c>
      <c r="V52" s="547">
        <v>0</v>
      </c>
      <c r="W52" s="548">
        <v>0</v>
      </c>
      <c r="X52" s="275">
        <f t="shared" si="54"/>
        <v>0</v>
      </c>
      <c r="Y52" s="547"/>
      <c r="Z52" s="548"/>
      <c r="AA52" s="275">
        <f t="shared" si="55"/>
        <v>0</v>
      </c>
      <c r="AB52" s="547"/>
      <c r="AC52" s="548"/>
      <c r="AD52" s="275">
        <f t="shared" si="56"/>
        <v>0</v>
      </c>
      <c r="AE52" s="547"/>
      <c r="AF52" s="548"/>
      <c r="AG52" s="275">
        <f t="shared" si="57"/>
        <v>0</v>
      </c>
      <c r="AH52" s="547"/>
      <c r="AI52" s="548"/>
      <c r="AJ52" s="275">
        <f t="shared" si="58"/>
        <v>0</v>
      </c>
      <c r="AK52" s="547">
        <v>0</v>
      </c>
      <c r="AL52" s="548">
        <v>0</v>
      </c>
      <c r="AM52" s="275">
        <f t="shared" si="59"/>
        <v>0</v>
      </c>
      <c r="AN52" s="547"/>
      <c r="AO52" s="548"/>
      <c r="AP52" s="275">
        <f t="shared" si="60"/>
        <v>0</v>
      </c>
      <c r="AQ52" s="547"/>
      <c r="AR52" s="548"/>
      <c r="AS52" s="275">
        <f t="shared" si="61"/>
        <v>0</v>
      </c>
      <c r="AT52" s="547"/>
      <c r="AU52" s="548"/>
      <c r="AV52" s="275">
        <f t="shared" si="62"/>
        <v>0</v>
      </c>
      <c r="AW52" s="547"/>
      <c r="AX52" s="548"/>
      <c r="AY52" s="275">
        <f t="shared" si="63"/>
        <v>0</v>
      </c>
      <c r="AZ52" s="547">
        <v>0</v>
      </c>
      <c r="BA52" s="548">
        <v>0</v>
      </c>
      <c r="BB52" s="275">
        <f t="shared" si="64"/>
        <v>0</v>
      </c>
      <c r="BC52" s="547"/>
      <c r="BD52" s="548"/>
      <c r="BE52" s="275">
        <f t="shared" si="65"/>
        <v>0</v>
      </c>
      <c r="BF52" s="547"/>
      <c r="BG52" s="548"/>
      <c r="BH52" s="275">
        <f t="shared" si="66"/>
        <v>0</v>
      </c>
      <c r="BI52" s="547"/>
      <c r="BJ52" s="548"/>
      <c r="BK52" s="275">
        <f t="shared" si="67"/>
        <v>0</v>
      </c>
      <c r="BL52" s="547"/>
      <c r="BM52" s="548"/>
      <c r="BN52" s="275">
        <f t="shared" si="68"/>
        <v>0</v>
      </c>
      <c r="BO52" s="547">
        <v>0</v>
      </c>
      <c r="BP52" s="548">
        <v>0</v>
      </c>
      <c r="BQ52" s="275">
        <f t="shared" si="46"/>
        <v>0</v>
      </c>
    </row>
    <row r="53" spans="1:70">
      <c r="A53" s="777"/>
      <c r="B53" s="781"/>
      <c r="C53" s="24" t="s">
        <v>33</v>
      </c>
      <c r="D53" s="448">
        <f t="shared" si="69"/>
        <v>0</v>
      </c>
      <c r="E53" s="449">
        <f t="shared" si="48"/>
        <v>0</v>
      </c>
      <c r="F53" s="274">
        <f t="shared" si="70"/>
        <v>0</v>
      </c>
      <c r="G53" s="547"/>
      <c r="H53" s="548"/>
      <c r="I53" s="275">
        <f t="shared" si="49"/>
        <v>0</v>
      </c>
      <c r="J53" s="547"/>
      <c r="K53" s="548"/>
      <c r="L53" s="275">
        <f t="shared" si="50"/>
        <v>0</v>
      </c>
      <c r="M53" s="547"/>
      <c r="N53" s="548"/>
      <c r="O53" s="275">
        <f t="shared" si="51"/>
        <v>0</v>
      </c>
      <c r="P53" s="547"/>
      <c r="Q53" s="548"/>
      <c r="R53" s="275">
        <f t="shared" si="52"/>
        <v>0</v>
      </c>
      <c r="S53" s="547"/>
      <c r="T53" s="548"/>
      <c r="U53" s="275">
        <f t="shared" si="53"/>
        <v>0</v>
      </c>
      <c r="V53" s="547">
        <v>0</v>
      </c>
      <c r="W53" s="548">
        <v>0</v>
      </c>
      <c r="X53" s="275">
        <f t="shared" si="54"/>
        <v>0</v>
      </c>
      <c r="Y53" s="547"/>
      <c r="Z53" s="548"/>
      <c r="AA53" s="275">
        <f t="shared" si="55"/>
        <v>0</v>
      </c>
      <c r="AB53" s="547"/>
      <c r="AC53" s="548"/>
      <c r="AD53" s="275">
        <f t="shared" si="56"/>
        <v>0</v>
      </c>
      <c r="AE53" s="547"/>
      <c r="AF53" s="548"/>
      <c r="AG53" s="275">
        <f t="shared" si="57"/>
        <v>0</v>
      </c>
      <c r="AH53" s="547"/>
      <c r="AI53" s="548"/>
      <c r="AJ53" s="275">
        <f t="shared" si="58"/>
        <v>0</v>
      </c>
      <c r="AK53" s="547">
        <v>0</v>
      </c>
      <c r="AL53" s="548">
        <v>0</v>
      </c>
      <c r="AM53" s="275">
        <f t="shared" si="59"/>
        <v>0</v>
      </c>
      <c r="AN53" s="547"/>
      <c r="AO53" s="548"/>
      <c r="AP53" s="275">
        <f t="shared" si="60"/>
        <v>0</v>
      </c>
      <c r="AQ53" s="547"/>
      <c r="AR53" s="548"/>
      <c r="AS53" s="275">
        <f t="shared" si="61"/>
        <v>0</v>
      </c>
      <c r="AT53" s="547"/>
      <c r="AU53" s="548"/>
      <c r="AV53" s="275">
        <f t="shared" si="62"/>
        <v>0</v>
      </c>
      <c r="AW53" s="547"/>
      <c r="AX53" s="548"/>
      <c r="AY53" s="275">
        <f t="shared" si="63"/>
        <v>0</v>
      </c>
      <c r="AZ53" s="547">
        <v>0</v>
      </c>
      <c r="BA53" s="548">
        <v>0</v>
      </c>
      <c r="BB53" s="275">
        <f t="shared" si="64"/>
        <v>0</v>
      </c>
      <c r="BC53" s="547"/>
      <c r="BD53" s="548"/>
      <c r="BE53" s="275">
        <f t="shared" si="65"/>
        <v>0</v>
      </c>
      <c r="BF53" s="547"/>
      <c r="BG53" s="548"/>
      <c r="BH53" s="275">
        <f t="shared" si="66"/>
        <v>0</v>
      </c>
      <c r="BI53" s="547"/>
      <c r="BJ53" s="548"/>
      <c r="BK53" s="275">
        <f t="shared" si="67"/>
        <v>0</v>
      </c>
      <c r="BL53" s="547"/>
      <c r="BM53" s="548"/>
      <c r="BN53" s="275">
        <f t="shared" si="68"/>
        <v>0</v>
      </c>
      <c r="BO53" s="547">
        <v>0</v>
      </c>
      <c r="BP53" s="548">
        <v>0</v>
      </c>
      <c r="BQ53" s="275">
        <f t="shared" si="46"/>
        <v>0</v>
      </c>
    </row>
    <row r="54" spans="1:70" ht="15.75" thickBot="1">
      <c r="A54" s="778"/>
      <c r="B54" s="782"/>
      <c r="C54" s="263" t="s">
        <v>34</v>
      </c>
      <c r="D54" s="450">
        <f t="shared" si="69"/>
        <v>0</v>
      </c>
      <c r="E54" s="451">
        <f t="shared" si="48"/>
        <v>0</v>
      </c>
      <c r="F54" s="278">
        <f t="shared" si="70"/>
        <v>0</v>
      </c>
      <c r="G54" s="549"/>
      <c r="H54" s="550"/>
      <c r="I54" s="279">
        <f>H54-G54</f>
        <v>0</v>
      </c>
      <c r="J54" s="549"/>
      <c r="K54" s="550"/>
      <c r="L54" s="279">
        <f>K54-J54</f>
        <v>0</v>
      </c>
      <c r="M54" s="549"/>
      <c r="N54" s="550"/>
      <c r="O54" s="279">
        <f>N54-M54</f>
        <v>0</v>
      </c>
      <c r="P54" s="549"/>
      <c r="Q54" s="550"/>
      <c r="R54" s="279">
        <f>Q54-P54</f>
        <v>0</v>
      </c>
      <c r="S54" s="549"/>
      <c r="T54" s="550"/>
      <c r="U54" s="279">
        <f>T54-S54</f>
        <v>0</v>
      </c>
      <c r="V54" s="549">
        <v>0</v>
      </c>
      <c r="W54" s="550">
        <v>0</v>
      </c>
      <c r="X54" s="279">
        <f>W54-V54</f>
        <v>0</v>
      </c>
      <c r="Y54" s="549"/>
      <c r="Z54" s="550"/>
      <c r="AA54" s="279">
        <f>Z54-Y54</f>
        <v>0</v>
      </c>
      <c r="AB54" s="549"/>
      <c r="AC54" s="550"/>
      <c r="AD54" s="279">
        <f>AC54-AB54</f>
        <v>0</v>
      </c>
      <c r="AE54" s="549"/>
      <c r="AF54" s="550"/>
      <c r="AG54" s="279">
        <f>AF54-AE54</f>
        <v>0</v>
      </c>
      <c r="AH54" s="549"/>
      <c r="AI54" s="550"/>
      <c r="AJ54" s="279">
        <f>AI54-AH54</f>
        <v>0</v>
      </c>
      <c r="AK54" s="549">
        <v>0</v>
      </c>
      <c r="AL54" s="550">
        <v>0</v>
      </c>
      <c r="AM54" s="279">
        <f>AL54-AK54</f>
        <v>0</v>
      </c>
      <c r="AN54" s="549"/>
      <c r="AO54" s="550"/>
      <c r="AP54" s="279">
        <f>AO54-AN54</f>
        <v>0</v>
      </c>
      <c r="AQ54" s="549"/>
      <c r="AR54" s="550"/>
      <c r="AS54" s="279">
        <f>AR54-AQ54</f>
        <v>0</v>
      </c>
      <c r="AT54" s="549"/>
      <c r="AU54" s="550"/>
      <c r="AV54" s="279">
        <f>AU54-AT54</f>
        <v>0</v>
      </c>
      <c r="AW54" s="549"/>
      <c r="AX54" s="550"/>
      <c r="AY54" s="279">
        <f>AX54-AW54</f>
        <v>0</v>
      </c>
      <c r="AZ54" s="549">
        <v>0</v>
      </c>
      <c r="BA54" s="550">
        <v>0</v>
      </c>
      <c r="BB54" s="279">
        <f>BA54-AZ54</f>
        <v>0</v>
      </c>
      <c r="BC54" s="549"/>
      <c r="BD54" s="550"/>
      <c r="BE54" s="279">
        <f>BD54-BC54</f>
        <v>0</v>
      </c>
      <c r="BF54" s="549"/>
      <c r="BG54" s="550"/>
      <c r="BH54" s="279">
        <f>BG54-BF54</f>
        <v>0</v>
      </c>
      <c r="BI54" s="549"/>
      <c r="BJ54" s="550"/>
      <c r="BK54" s="279">
        <f>BJ54-BI54</f>
        <v>0</v>
      </c>
      <c r="BL54" s="549"/>
      <c r="BM54" s="550"/>
      <c r="BN54" s="279">
        <f>BM54-BL54</f>
        <v>0</v>
      </c>
      <c r="BO54" s="549">
        <v>0</v>
      </c>
      <c r="BP54" s="550">
        <v>0</v>
      </c>
      <c r="BQ54" s="279">
        <f>BP54-BO54</f>
        <v>0</v>
      </c>
    </row>
    <row r="55" spans="1:70" s="281" customFormat="1" ht="14.25" customHeight="1">
      <c r="A55" s="777" t="s">
        <v>39</v>
      </c>
      <c r="B55" s="781" t="s">
        <v>13</v>
      </c>
      <c r="C55" s="24" t="s">
        <v>25</v>
      </c>
      <c r="D55" s="252">
        <f t="shared" si="69"/>
        <v>0</v>
      </c>
      <c r="E55" s="253">
        <f t="shared" si="48"/>
        <v>1041330</v>
      </c>
      <c r="F55" s="254">
        <f t="shared" ref="F55:F64" si="71">SUM(I55,L55,O55,R55,U55,X55,AA55,AD55,AG55,AJ55,AM55,AP55,AS55,AV55,AY55,BB55,BB55,BE55,BH55,BK55,BN55,BQ55)</f>
        <v>1041330</v>
      </c>
      <c r="G55" s="539"/>
      <c r="H55" s="542"/>
      <c r="I55" s="257">
        <f t="shared" ref="I55:I64" si="72">H55-G55</f>
        <v>0</v>
      </c>
      <c r="J55" s="539"/>
      <c r="K55" s="540"/>
      <c r="L55" s="257">
        <f t="shared" ref="L55:L64" si="73">K55-J55</f>
        <v>0</v>
      </c>
      <c r="M55" s="539">
        <v>0</v>
      </c>
      <c r="N55" s="542">
        <v>1041330</v>
      </c>
      <c r="O55" s="257">
        <f t="shared" ref="O55:O64" si="74">N55-M55</f>
        <v>1041330</v>
      </c>
      <c r="P55" s="539"/>
      <c r="Q55" s="540"/>
      <c r="R55" s="257">
        <f t="shared" ref="R55:R64" si="75">Q55-P55</f>
        <v>0</v>
      </c>
      <c r="S55" s="539"/>
      <c r="T55" s="540"/>
      <c r="U55" s="257">
        <f t="shared" ref="U55:U64" si="76">T55-S55</f>
        <v>0</v>
      </c>
      <c r="V55" s="539"/>
      <c r="W55" s="540"/>
      <c r="X55" s="257">
        <f t="shared" ref="X55:X64" si="77">W55-V55</f>
        <v>0</v>
      </c>
      <c r="Y55" s="539"/>
      <c r="Z55" s="540"/>
      <c r="AA55" s="257">
        <f t="shared" ref="AA55:AA64" si="78">Z55-Y55</f>
        <v>0</v>
      </c>
      <c r="AB55" s="539"/>
      <c r="AC55" s="540"/>
      <c r="AD55" s="257">
        <f t="shared" ref="AD55:AD64" si="79">AC55-AB55</f>
        <v>0</v>
      </c>
      <c r="AE55" s="539"/>
      <c r="AF55" s="540"/>
      <c r="AG55" s="257">
        <f t="shared" ref="AG55:AG64" si="80">AF55-AE55</f>
        <v>0</v>
      </c>
      <c r="AH55" s="539"/>
      <c r="AI55" s="540"/>
      <c r="AJ55" s="257">
        <f t="shared" ref="AJ55:AJ64" si="81">AI55-AH55</f>
        <v>0</v>
      </c>
      <c r="AK55" s="539"/>
      <c r="AL55" s="540"/>
      <c r="AM55" s="257">
        <f t="shared" ref="AM55:AM64" si="82">AL55-AK55</f>
        <v>0</v>
      </c>
      <c r="AN55" s="539"/>
      <c r="AO55" s="540"/>
      <c r="AP55" s="257">
        <f t="shared" ref="AP55:AP64" si="83">AO55-AN55</f>
        <v>0</v>
      </c>
      <c r="AQ55" s="539"/>
      <c r="AR55" s="540"/>
      <c r="AS55" s="257">
        <f t="shared" ref="AS55:AS64" si="84">AR55-AQ55</f>
        <v>0</v>
      </c>
      <c r="AT55" s="539"/>
      <c r="AU55" s="540"/>
      <c r="AV55" s="257">
        <f t="shared" ref="AV55:AV64" si="85">AU55-AT55</f>
        <v>0</v>
      </c>
      <c r="AW55" s="539"/>
      <c r="AX55" s="540"/>
      <c r="AY55" s="257">
        <f t="shared" ref="AY55:AY64" si="86">AX55-AW55</f>
        <v>0</v>
      </c>
      <c r="AZ55" s="539"/>
      <c r="BA55" s="540"/>
      <c r="BB55" s="257">
        <f t="shared" ref="BB55:BB64" si="87">BA55-AZ55</f>
        <v>0</v>
      </c>
      <c r="BC55" s="539"/>
      <c r="BD55" s="540"/>
      <c r="BE55" s="257">
        <f t="shared" ref="BE55:BE64" si="88">BD55-BC55</f>
        <v>0</v>
      </c>
      <c r="BF55" s="539"/>
      <c r="BG55" s="540"/>
      <c r="BH55" s="257">
        <f t="shared" ref="BH55:BH64" si="89">BG55-BF55</f>
        <v>0</v>
      </c>
      <c r="BI55" s="539"/>
      <c r="BJ55" s="540"/>
      <c r="BK55" s="257">
        <f t="shared" ref="BK55:BK64" si="90">BJ55-BI55</f>
        <v>0</v>
      </c>
      <c r="BL55" s="539"/>
      <c r="BM55" s="540"/>
      <c r="BN55" s="257">
        <f t="shared" ref="BN55:BN64" si="91">BM55-BL55</f>
        <v>0</v>
      </c>
      <c r="BO55" s="539"/>
      <c r="BP55" s="540"/>
      <c r="BQ55" s="257">
        <f t="shared" ref="BQ55:BQ64" si="92">BP55-BO55</f>
        <v>0</v>
      </c>
      <c r="BR55" s="280"/>
    </row>
    <row r="56" spans="1:70">
      <c r="A56" s="777"/>
      <c r="B56" s="781"/>
      <c r="C56" s="24" t="s">
        <v>26</v>
      </c>
      <c r="D56" s="259">
        <f t="shared" si="69"/>
        <v>0</v>
      </c>
      <c r="E56" s="260">
        <f t="shared" si="48"/>
        <v>1735551</v>
      </c>
      <c r="F56" s="261">
        <f t="shared" si="71"/>
        <v>1735551</v>
      </c>
      <c r="G56" s="541"/>
      <c r="H56" s="542"/>
      <c r="I56" s="262">
        <f t="shared" si="72"/>
        <v>0</v>
      </c>
      <c r="J56" s="541"/>
      <c r="K56" s="542"/>
      <c r="L56" s="262">
        <f t="shared" si="73"/>
        <v>0</v>
      </c>
      <c r="M56" s="541">
        <v>0</v>
      </c>
      <c r="N56" s="542">
        <v>1735551</v>
      </c>
      <c r="O56" s="262">
        <f t="shared" si="74"/>
        <v>1735551</v>
      </c>
      <c r="P56" s="541"/>
      <c r="Q56" s="542"/>
      <c r="R56" s="262">
        <f t="shared" si="75"/>
        <v>0</v>
      </c>
      <c r="S56" s="541"/>
      <c r="T56" s="542"/>
      <c r="U56" s="262">
        <f t="shared" si="76"/>
        <v>0</v>
      </c>
      <c r="V56" s="541"/>
      <c r="W56" s="542"/>
      <c r="X56" s="262">
        <f t="shared" si="77"/>
        <v>0</v>
      </c>
      <c r="Y56" s="541"/>
      <c r="Z56" s="542"/>
      <c r="AA56" s="262">
        <f t="shared" si="78"/>
        <v>0</v>
      </c>
      <c r="AB56" s="541"/>
      <c r="AC56" s="542"/>
      <c r="AD56" s="262">
        <f t="shared" si="79"/>
        <v>0</v>
      </c>
      <c r="AE56" s="541"/>
      <c r="AF56" s="542"/>
      <c r="AG56" s="262">
        <f t="shared" si="80"/>
        <v>0</v>
      </c>
      <c r="AH56" s="541"/>
      <c r="AI56" s="542"/>
      <c r="AJ56" s="262">
        <f t="shared" si="81"/>
        <v>0</v>
      </c>
      <c r="AK56" s="541"/>
      <c r="AL56" s="542"/>
      <c r="AM56" s="262">
        <f t="shared" si="82"/>
        <v>0</v>
      </c>
      <c r="AN56" s="541"/>
      <c r="AO56" s="542"/>
      <c r="AP56" s="262">
        <f t="shared" si="83"/>
        <v>0</v>
      </c>
      <c r="AQ56" s="541"/>
      <c r="AR56" s="542"/>
      <c r="AS56" s="262">
        <f t="shared" si="84"/>
        <v>0</v>
      </c>
      <c r="AT56" s="541"/>
      <c r="AU56" s="542"/>
      <c r="AV56" s="262">
        <f t="shared" si="85"/>
        <v>0</v>
      </c>
      <c r="AW56" s="541"/>
      <c r="AX56" s="542"/>
      <c r="AY56" s="262">
        <f t="shared" si="86"/>
        <v>0</v>
      </c>
      <c r="AZ56" s="541"/>
      <c r="BA56" s="542"/>
      <c r="BB56" s="262">
        <f t="shared" si="87"/>
        <v>0</v>
      </c>
      <c r="BC56" s="541"/>
      <c r="BD56" s="542"/>
      <c r="BE56" s="262">
        <f t="shared" si="88"/>
        <v>0</v>
      </c>
      <c r="BF56" s="541"/>
      <c r="BG56" s="542"/>
      <c r="BH56" s="262">
        <f t="shared" si="89"/>
        <v>0</v>
      </c>
      <c r="BI56" s="541"/>
      <c r="BJ56" s="542"/>
      <c r="BK56" s="262">
        <f t="shared" si="90"/>
        <v>0</v>
      </c>
      <c r="BL56" s="541"/>
      <c r="BM56" s="542"/>
      <c r="BN56" s="262">
        <f t="shared" si="91"/>
        <v>0</v>
      </c>
      <c r="BO56" s="541"/>
      <c r="BP56" s="542"/>
      <c r="BQ56" s="262">
        <f t="shared" si="92"/>
        <v>0</v>
      </c>
    </row>
    <row r="57" spans="1:70">
      <c r="A57" s="777"/>
      <c r="B57" s="781"/>
      <c r="C57" s="24" t="s">
        <v>27</v>
      </c>
      <c r="D57" s="259">
        <f t="shared" si="69"/>
        <v>0</v>
      </c>
      <c r="E57" s="260">
        <f t="shared" si="48"/>
        <v>1735551</v>
      </c>
      <c r="F57" s="261">
        <f t="shared" si="71"/>
        <v>1735551</v>
      </c>
      <c r="G57" s="541"/>
      <c r="H57" s="542"/>
      <c r="I57" s="262">
        <f t="shared" si="72"/>
        <v>0</v>
      </c>
      <c r="J57" s="541"/>
      <c r="K57" s="542"/>
      <c r="L57" s="262">
        <f t="shared" si="73"/>
        <v>0</v>
      </c>
      <c r="M57" s="541">
        <v>0</v>
      </c>
      <c r="N57" s="542">
        <v>1735551</v>
      </c>
      <c r="O57" s="262">
        <f t="shared" si="74"/>
        <v>1735551</v>
      </c>
      <c r="P57" s="541"/>
      <c r="Q57" s="542"/>
      <c r="R57" s="262">
        <f t="shared" si="75"/>
        <v>0</v>
      </c>
      <c r="S57" s="541"/>
      <c r="T57" s="542"/>
      <c r="U57" s="262">
        <f t="shared" si="76"/>
        <v>0</v>
      </c>
      <c r="V57" s="541"/>
      <c r="W57" s="542"/>
      <c r="X57" s="262">
        <f t="shared" si="77"/>
        <v>0</v>
      </c>
      <c r="Y57" s="541"/>
      <c r="Z57" s="542"/>
      <c r="AA57" s="262">
        <f t="shared" si="78"/>
        <v>0</v>
      </c>
      <c r="AB57" s="541"/>
      <c r="AC57" s="542"/>
      <c r="AD57" s="262">
        <f t="shared" si="79"/>
        <v>0</v>
      </c>
      <c r="AE57" s="541"/>
      <c r="AF57" s="542"/>
      <c r="AG57" s="262">
        <f t="shared" si="80"/>
        <v>0</v>
      </c>
      <c r="AH57" s="541"/>
      <c r="AI57" s="542"/>
      <c r="AJ57" s="262">
        <f t="shared" si="81"/>
        <v>0</v>
      </c>
      <c r="AK57" s="541"/>
      <c r="AL57" s="542"/>
      <c r="AM57" s="262">
        <f t="shared" si="82"/>
        <v>0</v>
      </c>
      <c r="AN57" s="541"/>
      <c r="AO57" s="542"/>
      <c r="AP57" s="262">
        <f t="shared" si="83"/>
        <v>0</v>
      </c>
      <c r="AQ57" s="541"/>
      <c r="AR57" s="542"/>
      <c r="AS57" s="262">
        <f t="shared" si="84"/>
        <v>0</v>
      </c>
      <c r="AT57" s="541"/>
      <c r="AU57" s="542"/>
      <c r="AV57" s="262">
        <f t="shared" si="85"/>
        <v>0</v>
      </c>
      <c r="AW57" s="541"/>
      <c r="AX57" s="542"/>
      <c r="AY57" s="262">
        <f t="shared" si="86"/>
        <v>0</v>
      </c>
      <c r="AZ57" s="541"/>
      <c r="BA57" s="542"/>
      <c r="BB57" s="262">
        <f t="shared" si="87"/>
        <v>0</v>
      </c>
      <c r="BC57" s="541"/>
      <c r="BD57" s="542"/>
      <c r="BE57" s="262">
        <f t="shared" si="88"/>
        <v>0</v>
      </c>
      <c r="BF57" s="541"/>
      <c r="BG57" s="542"/>
      <c r="BH57" s="262">
        <f t="shared" si="89"/>
        <v>0</v>
      </c>
      <c r="BI57" s="541"/>
      <c r="BJ57" s="542"/>
      <c r="BK57" s="262">
        <f t="shared" si="90"/>
        <v>0</v>
      </c>
      <c r="BL57" s="541"/>
      <c r="BM57" s="542"/>
      <c r="BN57" s="262">
        <f t="shared" si="91"/>
        <v>0</v>
      </c>
      <c r="BO57" s="541"/>
      <c r="BP57" s="542"/>
      <c r="BQ57" s="262">
        <f t="shared" si="92"/>
        <v>0</v>
      </c>
    </row>
    <row r="58" spans="1:70">
      <c r="A58" s="777"/>
      <c r="B58" s="781"/>
      <c r="C58" s="24" t="s">
        <v>28</v>
      </c>
      <c r="D58" s="259">
        <f t="shared" si="69"/>
        <v>0</v>
      </c>
      <c r="E58" s="260">
        <f t="shared" si="48"/>
        <v>1735551</v>
      </c>
      <c r="F58" s="261">
        <f t="shared" si="71"/>
        <v>1735551</v>
      </c>
      <c r="G58" s="541"/>
      <c r="H58" s="542"/>
      <c r="I58" s="262">
        <f t="shared" si="72"/>
        <v>0</v>
      </c>
      <c r="J58" s="541"/>
      <c r="K58" s="542"/>
      <c r="L58" s="262">
        <f t="shared" si="73"/>
        <v>0</v>
      </c>
      <c r="M58" s="541">
        <v>0</v>
      </c>
      <c r="N58" s="542">
        <v>1735551</v>
      </c>
      <c r="O58" s="262">
        <f t="shared" si="74"/>
        <v>1735551</v>
      </c>
      <c r="P58" s="541"/>
      <c r="Q58" s="542"/>
      <c r="R58" s="262">
        <f t="shared" si="75"/>
        <v>0</v>
      </c>
      <c r="S58" s="541"/>
      <c r="T58" s="542"/>
      <c r="U58" s="262">
        <f t="shared" si="76"/>
        <v>0</v>
      </c>
      <c r="V58" s="541"/>
      <c r="W58" s="542"/>
      <c r="X58" s="262">
        <f t="shared" si="77"/>
        <v>0</v>
      </c>
      <c r="Y58" s="541"/>
      <c r="Z58" s="542"/>
      <c r="AA58" s="262">
        <f t="shared" si="78"/>
        <v>0</v>
      </c>
      <c r="AB58" s="541"/>
      <c r="AC58" s="542"/>
      <c r="AD58" s="262">
        <f t="shared" si="79"/>
        <v>0</v>
      </c>
      <c r="AE58" s="541"/>
      <c r="AF58" s="542"/>
      <c r="AG58" s="262">
        <f t="shared" si="80"/>
        <v>0</v>
      </c>
      <c r="AH58" s="541"/>
      <c r="AI58" s="542"/>
      <c r="AJ58" s="262">
        <f t="shared" si="81"/>
        <v>0</v>
      </c>
      <c r="AK58" s="541"/>
      <c r="AL58" s="542"/>
      <c r="AM58" s="262">
        <f t="shared" si="82"/>
        <v>0</v>
      </c>
      <c r="AN58" s="541"/>
      <c r="AO58" s="542"/>
      <c r="AP58" s="262">
        <f t="shared" si="83"/>
        <v>0</v>
      </c>
      <c r="AQ58" s="541"/>
      <c r="AR58" s="542"/>
      <c r="AS58" s="262">
        <f t="shared" si="84"/>
        <v>0</v>
      </c>
      <c r="AT58" s="541"/>
      <c r="AU58" s="542"/>
      <c r="AV58" s="262">
        <f t="shared" si="85"/>
        <v>0</v>
      </c>
      <c r="AW58" s="541"/>
      <c r="AX58" s="542"/>
      <c r="AY58" s="262">
        <f t="shared" si="86"/>
        <v>0</v>
      </c>
      <c r="AZ58" s="541"/>
      <c r="BA58" s="542"/>
      <c r="BB58" s="262">
        <f t="shared" si="87"/>
        <v>0</v>
      </c>
      <c r="BC58" s="541"/>
      <c r="BD58" s="542"/>
      <c r="BE58" s="262">
        <f t="shared" si="88"/>
        <v>0</v>
      </c>
      <c r="BF58" s="541"/>
      <c r="BG58" s="542"/>
      <c r="BH58" s="262">
        <f t="shared" si="89"/>
        <v>0</v>
      </c>
      <c r="BI58" s="541"/>
      <c r="BJ58" s="542"/>
      <c r="BK58" s="262">
        <f t="shared" si="90"/>
        <v>0</v>
      </c>
      <c r="BL58" s="541"/>
      <c r="BM58" s="542"/>
      <c r="BN58" s="262">
        <f t="shared" si="91"/>
        <v>0</v>
      </c>
      <c r="BO58" s="541"/>
      <c r="BP58" s="542"/>
      <c r="BQ58" s="262">
        <f t="shared" si="92"/>
        <v>0</v>
      </c>
    </row>
    <row r="59" spans="1:70">
      <c r="A59" s="777"/>
      <c r="B59" s="781"/>
      <c r="C59" s="24" t="s">
        <v>29</v>
      </c>
      <c r="D59" s="259">
        <f t="shared" si="69"/>
        <v>0</v>
      </c>
      <c r="E59" s="260">
        <f t="shared" si="48"/>
        <v>1735551</v>
      </c>
      <c r="F59" s="261">
        <f t="shared" si="71"/>
        <v>1735551</v>
      </c>
      <c r="G59" s="541"/>
      <c r="H59" s="542"/>
      <c r="I59" s="262">
        <f t="shared" si="72"/>
        <v>0</v>
      </c>
      <c r="J59" s="541"/>
      <c r="K59" s="542"/>
      <c r="L59" s="262">
        <f t="shared" si="73"/>
        <v>0</v>
      </c>
      <c r="M59" s="541">
        <v>0</v>
      </c>
      <c r="N59" s="542">
        <v>1735551</v>
      </c>
      <c r="O59" s="262">
        <f t="shared" si="74"/>
        <v>1735551</v>
      </c>
      <c r="P59" s="541"/>
      <c r="Q59" s="542"/>
      <c r="R59" s="262">
        <f t="shared" si="75"/>
        <v>0</v>
      </c>
      <c r="S59" s="541"/>
      <c r="T59" s="542"/>
      <c r="U59" s="262">
        <f t="shared" si="76"/>
        <v>0</v>
      </c>
      <c r="V59" s="541"/>
      <c r="W59" s="542"/>
      <c r="X59" s="262">
        <f t="shared" si="77"/>
        <v>0</v>
      </c>
      <c r="Y59" s="541"/>
      <c r="Z59" s="542"/>
      <c r="AA59" s="262">
        <f t="shared" si="78"/>
        <v>0</v>
      </c>
      <c r="AB59" s="541"/>
      <c r="AC59" s="542"/>
      <c r="AD59" s="262">
        <f t="shared" si="79"/>
        <v>0</v>
      </c>
      <c r="AE59" s="541"/>
      <c r="AF59" s="542"/>
      <c r="AG59" s="262">
        <f t="shared" si="80"/>
        <v>0</v>
      </c>
      <c r="AH59" s="541"/>
      <c r="AI59" s="542"/>
      <c r="AJ59" s="262">
        <f t="shared" si="81"/>
        <v>0</v>
      </c>
      <c r="AK59" s="541"/>
      <c r="AL59" s="542"/>
      <c r="AM59" s="262">
        <f t="shared" si="82"/>
        <v>0</v>
      </c>
      <c r="AN59" s="541"/>
      <c r="AO59" s="542"/>
      <c r="AP59" s="262">
        <f t="shared" si="83"/>
        <v>0</v>
      </c>
      <c r="AQ59" s="541"/>
      <c r="AR59" s="542"/>
      <c r="AS59" s="262">
        <f t="shared" si="84"/>
        <v>0</v>
      </c>
      <c r="AT59" s="541"/>
      <c r="AU59" s="542"/>
      <c r="AV59" s="262">
        <f t="shared" si="85"/>
        <v>0</v>
      </c>
      <c r="AW59" s="541"/>
      <c r="AX59" s="542"/>
      <c r="AY59" s="262">
        <f t="shared" si="86"/>
        <v>0</v>
      </c>
      <c r="AZ59" s="541"/>
      <c r="BA59" s="542"/>
      <c r="BB59" s="262">
        <f t="shared" si="87"/>
        <v>0</v>
      </c>
      <c r="BC59" s="541"/>
      <c r="BD59" s="542"/>
      <c r="BE59" s="262">
        <f t="shared" si="88"/>
        <v>0</v>
      </c>
      <c r="BF59" s="541"/>
      <c r="BG59" s="542"/>
      <c r="BH59" s="262">
        <f t="shared" si="89"/>
        <v>0</v>
      </c>
      <c r="BI59" s="541"/>
      <c r="BJ59" s="542"/>
      <c r="BK59" s="262">
        <f t="shared" si="90"/>
        <v>0</v>
      </c>
      <c r="BL59" s="541"/>
      <c r="BM59" s="542"/>
      <c r="BN59" s="262">
        <f t="shared" si="91"/>
        <v>0</v>
      </c>
      <c r="BO59" s="541"/>
      <c r="BP59" s="542"/>
      <c r="BQ59" s="262">
        <f t="shared" si="92"/>
        <v>0</v>
      </c>
    </row>
    <row r="60" spans="1:70">
      <c r="A60" s="777"/>
      <c r="B60" s="781"/>
      <c r="C60" s="24" t="s">
        <v>30</v>
      </c>
      <c r="D60" s="259">
        <f t="shared" si="69"/>
        <v>0</v>
      </c>
      <c r="E60" s="260">
        <f t="shared" si="48"/>
        <v>1735551</v>
      </c>
      <c r="F60" s="261">
        <f t="shared" si="71"/>
        <v>1735551</v>
      </c>
      <c r="G60" s="541"/>
      <c r="H60" s="542"/>
      <c r="I60" s="262">
        <f t="shared" si="72"/>
        <v>0</v>
      </c>
      <c r="J60" s="541"/>
      <c r="K60" s="542"/>
      <c r="L60" s="262">
        <f t="shared" si="73"/>
        <v>0</v>
      </c>
      <c r="M60" s="541">
        <v>0</v>
      </c>
      <c r="N60" s="542">
        <v>1735551</v>
      </c>
      <c r="O60" s="262">
        <f t="shared" si="74"/>
        <v>1735551</v>
      </c>
      <c r="P60" s="541"/>
      <c r="Q60" s="542"/>
      <c r="R60" s="262">
        <f t="shared" si="75"/>
        <v>0</v>
      </c>
      <c r="S60" s="541"/>
      <c r="T60" s="542"/>
      <c r="U60" s="262">
        <f t="shared" si="76"/>
        <v>0</v>
      </c>
      <c r="V60" s="541"/>
      <c r="W60" s="542"/>
      <c r="X60" s="262">
        <f t="shared" si="77"/>
        <v>0</v>
      </c>
      <c r="Y60" s="541"/>
      <c r="Z60" s="542"/>
      <c r="AA60" s="262">
        <f t="shared" si="78"/>
        <v>0</v>
      </c>
      <c r="AB60" s="541"/>
      <c r="AC60" s="542"/>
      <c r="AD60" s="262">
        <f t="shared" si="79"/>
        <v>0</v>
      </c>
      <c r="AE60" s="541"/>
      <c r="AF60" s="542"/>
      <c r="AG60" s="262">
        <f t="shared" si="80"/>
        <v>0</v>
      </c>
      <c r="AH60" s="541"/>
      <c r="AI60" s="542"/>
      <c r="AJ60" s="262">
        <f t="shared" si="81"/>
        <v>0</v>
      </c>
      <c r="AK60" s="541"/>
      <c r="AL60" s="542"/>
      <c r="AM60" s="262">
        <f t="shared" si="82"/>
        <v>0</v>
      </c>
      <c r="AN60" s="541"/>
      <c r="AO60" s="542"/>
      <c r="AP60" s="262">
        <f t="shared" si="83"/>
        <v>0</v>
      </c>
      <c r="AQ60" s="541"/>
      <c r="AR60" s="542"/>
      <c r="AS60" s="262">
        <f t="shared" si="84"/>
        <v>0</v>
      </c>
      <c r="AT60" s="541"/>
      <c r="AU60" s="542"/>
      <c r="AV60" s="262">
        <f t="shared" si="85"/>
        <v>0</v>
      </c>
      <c r="AW60" s="541"/>
      <c r="AX60" s="542"/>
      <c r="AY60" s="262">
        <f t="shared" si="86"/>
        <v>0</v>
      </c>
      <c r="AZ60" s="541"/>
      <c r="BA60" s="542"/>
      <c r="BB60" s="262">
        <f t="shared" si="87"/>
        <v>0</v>
      </c>
      <c r="BC60" s="541"/>
      <c r="BD60" s="542"/>
      <c r="BE60" s="262">
        <f t="shared" si="88"/>
        <v>0</v>
      </c>
      <c r="BF60" s="541"/>
      <c r="BG60" s="542"/>
      <c r="BH60" s="262">
        <f t="shared" si="89"/>
        <v>0</v>
      </c>
      <c r="BI60" s="541"/>
      <c r="BJ60" s="542"/>
      <c r="BK60" s="262">
        <f t="shared" si="90"/>
        <v>0</v>
      </c>
      <c r="BL60" s="541"/>
      <c r="BM60" s="542"/>
      <c r="BN60" s="262">
        <f t="shared" si="91"/>
        <v>0</v>
      </c>
      <c r="BO60" s="541"/>
      <c r="BP60" s="542"/>
      <c r="BQ60" s="262">
        <f t="shared" si="92"/>
        <v>0</v>
      </c>
    </row>
    <row r="61" spans="1:70">
      <c r="A61" s="777"/>
      <c r="B61" s="781"/>
      <c r="C61" s="24" t="s">
        <v>31</v>
      </c>
      <c r="D61" s="259">
        <f t="shared" si="69"/>
        <v>0</v>
      </c>
      <c r="E61" s="260">
        <f t="shared" si="48"/>
        <v>1735551</v>
      </c>
      <c r="F61" s="261">
        <f t="shared" si="71"/>
        <v>1735551</v>
      </c>
      <c r="G61" s="541"/>
      <c r="H61" s="542"/>
      <c r="I61" s="262">
        <f t="shared" si="72"/>
        <v>0</v>
      </c>
      <c r="J61" s="541"/>
      <c r="K61" s="542"/>
      <c r="L61" s="262">
        <f t="shared" si="73"/>
        <v>0</v>
      </c>
      <c r="M61" s="541">
        <v>0</v>
      </c>
      <c r="N61" s="542">
        <v>1735551</v>
      </c>
      <c r="O61" s="262">
        <f t="shared" si="74"/>
        <v>1735551</v>
      </c>
      <c r="P61" s="541"/>
      <c r="Q61" s="542"/>
      <c r="R61" s="262">
        <f t="shared" si="75"/>
        <v>0</v>
      </c>
      <c r="S61" s="541"/>
      <c r="T61" s="542"/>
      <c r="U61" s="262">
        <f t="shared" si="76"/>
        <v>0</v>
      </c>
      <c r="V61" s="541"/>
      <c r="W61" s="542"/>
      <c r="X61" s="262">
        <f t="shared" si="77"/>
        <v>0</v>
      </c>
      <c r="Y61" s="541"/>
      <c r="Z61" s="542"/>
      <c r="AA61" s="262">
        <f t="shared" si="78"/>
        <v>0</v>
      </c>
      <c r="AB61" s="541"/>
      <c r="AC61" s="542"/>
      <c r="AD61" s="262">
        <f t="shared" si="79"/>
        <v>0</v>
      </c>
      <c r="AE61" s="541"/>
      <c r="AF61" s="542"/>
      <c r="AG61" s="262">
        <f t="shared" si="80"/>
        <v>0</v>
      </c>
      <c r="AH61" s="541"/>
      <c r="AI61" s="542"/>
      <c r="AJ61" s="262">
        <f t="shared" si="81"/>
        <v>0</v>
      </c>
      <c r="AK61" s="541"/>
      <c r="AL61" s="542"/>
      <c r="AM61" s="262">
        <f t="shared" si="82"/>
        <v>0</v>
      </c>
      <c r="AN61" s="541"/>
      <c r="AO61" s="542"/>
      <c r="AP61" s="262">
        <f t="shared" si="83"/>
        <v>0</v>
      </c>
      <c r="AQ61" s="541"/>
      <c r="AR61" s="542"/>
      <c r="AS61" s="262">
        <f t="shared" si="84"/>
        <v>0</v>
      </c>
      <c r="AT61" s="541"/>
      <c r="AU61" s="542"/>
      <c r="AV61" s="262">
        <f t="shared" si="85"/>
        <v>0</v>
      </c>
      <c r="AW61" s="541"/>
      <c r="AX61" s="542"/>
      <c r="AY61" s="262">
        <f t="shared" si="86"/>
        <v>0</v>
      </c>
      <c r="AZ61" s="541"/>
      <c r="BA61" s="542"/>
      <c r="BB61" s="262">
        <f t="shared" si="87"/>
        <v>0</v>
      </c>
      <c r="BC61" s="541"/>
      <c r="BD61" s="542"/>
      <c r="BE61" s="262">
        <f t="shared" si="88"/>
        <v>0</v>
      </c>
      <c r="BF61" s="541"/>
      <c r="BG61" s="542"/>
      <c r="BH61" s="262">
        <f t="shared" si="89"/>
        <v>0</v>
      </c>
      <c r="BI61" s="541"/>
      <c r="BJ61" s="542"/>
      <c r="BK61" s="262">
        <f t="shared" si="90"/>
        <v>0</v>
      </c>
      <c r="BL61" s="541"/>
      <c r="BM61" s="542"/>
      <c r="BN61" s="262">
        <f t="shared" si="91"/>
        <v>0</v>
      </c>
      <c r="BO61" s="541"/>
      <c r="BP61" s="542"/>
      <c r="BQ61" s="262">
        <f t="shared" si="92"/>
        <v>0</v>
      </c>
    </row>
    <row r="62" spans="1:70">
      <c r="A62" s="777"/>
      <c r="B62" s="781"/>
      <c r="C62" s="24" t="s">
        <v>32</v>
      </c>
      <c r="D62" s="259">
        <f t="shared" ref="D62:D64" si="93">SUM(G62,J62,M62,P62,S62,V62,Y62,AB62,AE62,AH62,AK62,AN62,AQ62,AT62,AW62,AZ62,AZ62,BC62,BF62,BI62,BL62,BO62)</f>
        <v>0</v>
      </c>
      <c r="E62" s="260">
        <f t="shared" si="48"/>
        <v>1735551</v>
      </c>
      <c r="F62" s="261">
        <f t="shared" si="71"/>
        <v>1735551</v>
      </c>
      <c r="G62" s="541"/>
      <c r="H62" s="542"/>
      <c r="I62" s="262">
        <f t="shared" si="72"/>
        <v>0</v>
      </c>
      <c r="J62" s="541"/>
      <c r="K62" s="542"/>
      <c r="L62" s="262">
        <f t="shared" si="73"/>
        <v>0</v>
      </c>
      <c r="M62" s="541">
        <v>0</v>
      </c>
      <c r="N62" s="542">
        <v>1735551</v>
      </c>
      <c r="O62" s="262">
        <f t="shared" si="74"/>
        <v>1735551</v>
      </c>
      <c r="P62" s="541"/>
      <c r="Q62" s="542"/>
      <c r="R62" s="262">
        <f t="shared" si="75"/>
        <v>0</v>
      </c>
      <c r="S62" s="541"/>
      <c r="T62" s="542"/>
      <c r="U62" s="262">
        <f t="shared" si="76"/>
        <v>0</v>
      </c>
      <c r="V62" s="541"/>
      <c r="W62" s="542"/>
      <c r="X62" s="262">
        <f t="shared" si="77"/>
        <v>0</v>
      </c>
      <c r="Y62" s="541"/>
      <c r="Z62" s="542"/>
      <c r="AA62" s="262">
        <f t="shared" si="78"/>
        <v>0</v>
      </c>
      <c r="AB62" s="541"/>
      <c r="AC62" s="542"/>
      <c r="AD62" s="262">
        <f t="shared" si="79"/>
        <v>0</v>
      </c>
      <c r="AE62" s="541"/>
      <c r="AF62" s="542"/>
      <c r="AG62" s="262">
        <f t="shared" si="80"/>
        <v>0</v>
      </c>
      <c r="AH62" s="541"/>
      <c r="AI62" s="542"/>
      <c r="AJ62" s="262">
        <f t="shared" si="81"/>
        <v>0</v>
      </c>
      <c r="AK62" s="541"/>
      <c r="AL62" s="542"/>
      <c r="AM62" s="262">
        <f t="shared" si="82"/>
        <v>0</v>
      </c>
      <c r="AN62" s="541"/>
      <c r="AO62" s="542"/>
      <c r="AP62" s="262">
        <f t="shared" si="83"/>
        <v>0</v>
      </c>
      <c r="AQ62" s="541"/>
      <c r="AR62" s="542"/>
      <c r="AS62" s="262">
        <f t="shared" si="84"/>
        <v>0</v>
      </c>
      <c r="AT62" s="541"/>
      <c r="AU62" s="542"/>
      <c r="AV62" s="262">
        <f t="shared" si="85"/>
        <v>0</v>
      </c>
      <c r="AW62" s="541"/>
      <c r="AX62" s="542"/>
      <c r="AY62" s="262">
        <f t="shared" si="86"/>
        <v>0</v>
      </c>
      <c r="AZ62" s="541"/>
      <c r="BA62" s="542"/>
      <c r="BB62" s="262">
        <f t="shared" si="87"/>
        <v>0</v>
      </c>
      <c r="BC62" s="541"/>
      <c r="BD62" s="542"/>
      <c r="BE62" s="262">
        <f t="shared" si="88"/>
        <v>0</v>
      </c>
      <c r="BF62" s="541"/>
      <c r="BG62" s="542"/>
      <c r="BH62" s="262">
        <f t="shared" si="89"/>
        <v>0</v>
      </c>
      <c r="BI62" s="541"/>
      <c r="BJ62" s="542"/>
      <c r="BK62" s="262">
        <f t="shared" si="90"/>
        <v>0</v>
      </c>
      <c r="BL62" s="541"/>
      <c r="BM62" s="542"/>
      <c r="BN62" s="262">
        <f t="shared" si="91"/>
        <v>0</v>
      </c>
      <c r="BO62" s="541"/>
      <c r="BP62" s="542"/>
      <c r="BQ62" s="262">
        <f t="shared" si="92"/>
        <v>0</v>
      </c>
    </row>
    <row r="63" spans="1:70">
      <c r="A63" s="777"/>
      <c r="B63" s="781"/>
      <c r="C63" s="24" t="s">
        <v>33</v>
      </c>
      <c r="D63" s="259">
        <f t="shared" si="93"/>
        <v>0</v>
      </c>
      <c r="E63" s="260">
        <f t="shared" si="48"/>
        <v>1735551</v>
      </c>
      <c r="F63" s="261">
        <f t="shared" si="71"/>
        <v>1735551</v>
      </c>
      <c r="G63" s="541"/>
      <c r="H63" s="542"/>
      <c r="I63" s="262">
        <f t="shared" si="72"/>
        <v>0</v>
      </c>
      <c r="J63" s="541"/>
      <c r="K63" s="542"/>
      <c r="L63" s="262">
        <f t="shared" si="73"/>
        <v>0</v>
      </c>
      <c r="M63" s="541">
        <v>0</v>
      </c>
      <c r="N63" s="542">
        <v>1735551</v>
      </c>
      <c r="O63" s="262">
        <f t="shared" si="74"/>
        <v>1735551</v>
      </c>
      <c r="P63" s="541"/>
      <c r="Q63" s="542"/>
      <c r="R63" s="262">
        <f t="shared" si="75"/>
        <v>0</v>
      </c>
      <c r="S63" s="541"/>
      <c r="T63" s="542"/>
      <c r="U63" s="262">
        <f t="shared" si="76"/>
        <v>0</v>
      </c>
      <c r="V63" s="541"/>
      <c r="W63" s="542"/>
      <c r="X63" s="262">
        <f t="shared" si="77"/>
        <v>0</v>
      </c>
      <c r="Y63" s="541"/>
      <c r="Z63" s="542"/>
      <c r="AA63" s="262">
        <f t="shared" si="78"/>
        <v>0</v>
      </c>
      <c r="AB63" s="541"/>
      <c r="AC63" s="542"/>
      <c r="AD63" s="262">
        <f t="shared" si="79"/>
        <v>0</v>
      </c>
      <c r="AE63" s="541"/>
      <c r="AF63" s="542"/>
      <c r="AG63" s="262">
        <f t="shared" si="80"/>
        <v>0</v>
      </c>
      <c r="AH63" s="541"/>
      <c r="AI63" s="542"/>
      <c r="AJ63" s="262">
        <f t="shared" si="81"/>
        <v>0</v>
      </c>
      <c r="AK63" s="541"/>
      <c r="AL63" s="542"/>
      <c r="AM63" s="262">
        <f t="shared" si="82"/>
        <v>0</v>
      </c>
      <c r="AN63" s="541"/>
      <c r="AO63" s="542"/>
      <c r="AP63" s="262">
        <f t="shared" si="83"/>
        <v>0</v>
      </c>
      <c r="AQ63" s="541"/>
      <c r="AR63" s="542"/>
      <c r="AS63" s="262">
        <f t="shared" si="84"/>
        <v>0</v>
      </c>
      <c r="AT63" s="541"/>
      <c r="AU63" s="542"/>
      <c r="AV63" s="262">
        <f t="shared" si="85"/>
        <v>0</v>
      </c>
      <c r="AW63" s="541"/>
      <c r="AX63" s="542"/>
      <c r="AY63" s="262">
        <f t="shared" si="86"/>
        <v>0</v>
      </c>
      <c r="AZ63" s="541"/>
      <c r="BA63" s="542"/>
      <c r="BB63" s="262">
        <f t="shared" si="87"/>
        <v>0</v>
      </c>
      <c r="BC63" s="541"/>
      <c r="BD63" s="542"/>
      <c r="BE63" s="262">
        <f t="shared" si="88"/>
        <v>0</v>
      </c>
      <c r="BF63" s="541"/>
      <c r="BG63" s="542"/>
      <c r="BH63" s="262">
        <f t="shared" si="89"/>
        <v>0</v>
      </c>
      <c r="BI63" s="541"/>
      <c r="BJ63" s="542"/>
      <c r="BK63" s="262">
        <f t="shared" si="90"/>
        <v>0</v>
      </c>
      <c r="BL63" s="541"/>
      <c r="BM63" s="542"/>
      <c r="BN63" s="262">
        <f t="shared" si="91"/>
        <v>0</v>
      </c>
      <c r="BO63" s="541"/>
      <c r="BP63" s="542"/>
      <c r="BQ63" s="262">
        <f t="shared" si="92"/>
        <v>0</v>
      </c>
    </row>
    <row r="64" spans="1:70" s="283" customFormat="1" ht="15.75" thickBot="1">
      <c r="A64" s="778"/>
      <c r="B64" s="782"/>
      <c r="C64" s="263" t="s">
        <v>34</v>
      </c>
      <c r="D64" s="264">
        <f t="shared" si="93"/>
        <v>0</v>
      </c>
      <c r="E64" s="265">
        <f t="shared" si="48"/>
        <v>1735551</v>
      </c>
      <c r="F64" s="266">
        <f t="shared" si="71"/>
        <v>1735551</v>
      </c>
      <c r="G64" s="543"/>
      <c r="H64" s="542"/>
      <c r="I64" s="267">
        <f t="shared" si="72"/>
        <v>0</v>
      </c>
      <c r="J64" s="543"/>
      <c r="K64" s="544"/>
      <c r="L64" s="267">
        <f t="shared" si="73"/>
        <v>0</v>
      </c>
      <c r="M64" s="543">
        <v>0</v>
      </c>
      <c r="N64" s="542">
        <v>1735551</v>
      </c>
      <c r="O64" s="267">
        <f t="shared" si="74"/>
        <v>1735551</v>
      </c>
      <c r="P64" s="543"/>
      <c r="Q64" s="544"/>
      <c r="R64" s="267">
        <f t="shared" si="75"/>
        <v>0</v>
      </c>
      <c r="S64" s="543"/>
      <c r="T64" s="544"/>
      <c r="U64" s="267">
        <f t="shared" si="76"/>
        <v>0</v>
      </c>
      <c r="V64" s="543"/>
      <c r="W64" s="544"/>
      <c r="X64" s="267">
        <f t="shared" si="77"/>
        <v>0</v>
      </c>
      <c r="Y64" s="543"/>
      <c r="Z64" s="544"/>
      <c r="AA64" s="267">
        <f t="shared" si="78"/>
        <v>0</v>
      </c>
      <c r="AB64" s="543"/>
      <c r="AC64" s="544"/>
      <c r="AD64" s="267">
        <f t="shared" si="79"/>
        <v>0</v>
      </c>
      <c r="AE64" s="543"/>
      <c r="AF64" s="544"/>
      <c r="AG64" s="267">
        <f t="shared" si="80"/>
        <v>0</v>
      </c>
      <c r="AH64" s="543"/>
      <c r="AI64" s="544"/>
      <c r="AJ64" s="267">
        <f t="shared" si="81"/>
        <v>0</v>
      </c>
      <c r="AK64" s="543"/>
      <c r="AL64" s="544"/>
      <c r="AM64" s="267">
        <f t="shared" si="82"/>
        <v>0</v>
      </c>
      <c r="AN64" s="543"/>
      <c r="AO64" s="544"/>
      <c r="AP64" s="267">
        <f t="shared" si="83"/>
        <v>0</v>
      </c>
      <c r="AQ64" s="543"/>
      <c r="AR64" s="544"/>
      <c r="AS64" s="267">
        <f t="shared" si="84"/>
        <v>0</v>
      </c>
      <c r="AT64" s="543"/>
      <c r="AU64" s="544"/>
      <c r="AV64" s="267">
        <f t="shared" si="85"/>
        <v>0</v>
      </c>
      <c r="AW64" s="543"/>
      <c r="AX64" s="544"/>
      <c r="AY64" s="267">
        <f t="shared" si="86"/>
        <v>0</v>
      </c>
      <c r="AZ64" s="543"/>
      <c r="BA64" s="544"/>
      <c r="BB64" s="267">
        <f t="shared" si="87"/>
        <v>0</v>
      </c>
      <c r="BC64" s="543"/>
      <c r="BD64" s="544"/>
      <c r="BE64" s="267">
        <f t="shared" si="88"/>
        <v>0</v>
      </c>
      <c r="BF64" s="543"/>
      <c r="BG64" s="544"/>
      <c r="BH64" s="267">
        <f t="shared" si="89"/>
        <v>0</v>
      </c>
      <c r="BI64" s="543"/>
      <c r="BJ64" s="544"/>
      <c r="BK64" s="267">
        <f t="shared" si="90"/>
        <v>0</v>
      </c>
      <c r="BL64" s="543"/>
      <c r="BM64" s="544"/>
      <c r="BN64" s="267">
        <f t="shared" si="91"/>
        <v>0</v>
      </c>
      <c r="BO64" s="543"/>
      <c r="BP64" s="544"/>
      <c r="BQ64" s="267">
        <f t="shared" si="92"/>
        <v>0</v>
      </c>
      <c r="BR64" s="282"/>
    </row>
    <row r="65" spans="1:70" ht="15.75" thickBot="1">
      <c r="A65" s="284"/>
      <c r="B65" s="285"/>
      <c r="C65" s="286"/>
      <c r="D65" s="285"/>
      <c r="E65" s="285"/>
      <c r="F65" s="287" t="s">
        <v>102</v>
      </c>
      <c r="G65" s="288"/>
      <c r="H65" s="288"/>
      <c r="I65" s="289"/>
      <c r="J65" s="288"/>
      <c r="K65" s="288"/>
      <c r="L65" s="289"/>
      <c r="M65" s="288"/>
      <c r="N65" s="288"/>
      <c r="O65" s="289"/>
      <c r="P65" s="288"/>
      <c r="Q65" s="288"/>
      <c r="R65" s="289"/>
      <c r="S65" s="288"/>
      <c r="T65" s="288"/>
      <c r="U65" s="289"/>
      <c r="V65" s="288"/>
      <c r="W65" s="288"/>
      <c r="X65" s="289"/>
      <c r="Y65" s="288"/>
      <c r="Z65" s="288"/>
      <c r="AA65" s="289"/>
      <c r="AB65" s="288"/>
      <c r="AC65" s="288"/>
      <c r="AD65" s="289"/>
      <c r="AE65" s="288"/>
      <c r="AF65" s="288"/>
      <c r="AG65" s="289"/>
      <c r="AH65" s="288"/>
      <c r="AI65" s="288"/>
      <c r="AJ65" s="289"/>
      <c r="AK65" s="288"/>
      <c r="AL65" s="288"/>
      <c r="AM65" s="289"/>
      <c r="AN65" s="288"/>
      <c r="AO65" s="288"/>
      <c r="AP65" s="289"/>
      <c r="AQ65" s="288"/>
      <c r="AR65" s="288"/>
      <c r="AS65" s="289"/>
      <c r="AT65" s="288"/>
      <c r="AU65" s="288"/>
      <c r="AV65" s="289"/>
      <c r="AW65" s="288"/>
      <c r="AX65" s="288"/>
      <c r="AY65" s="289"/>
      <c r="AZ65" s="288"/>
      <c r="BA65" s="288"/>
      <c r="BB65" s="289"/>
      <c r="BC65" s="288"/>
      <c r="BD65" s="288"/>
      <c r="BE65" s="289"/>
      <c r="BF65" s="288"/>
      <c r="BG65" s="288"/>
      <c r="BH65" s="289"/>
      <c r="BI65" s="288"/>
      <c r="BJ65" s="288"/>
      <c r="BK65" s="289"/>
      <c r="BL65" s="288"/>
      <c r="BM65" s="288"/>
      <c r="BN65" s="289"/>
      <c r="BO65" s="288"/>
      <c r="BP65" s="288"/>
      <c r="BQ65" s="289"/>
    </row>
    <row r="66" spans="1:70">
      <c r="A66" s="787" t="s">
        <v>236</v>
      </c>
      <c r="B66" s="789" t="s">
        <v>37</v>
      </c>
      <c r="C66" s="290" t="s">
        <v>25</v>
      </c>
      <c r="D66" s="291">
        <f t="shared" ref="D66:D75" si="94">SUM(G66,J66,M66,P66,S66,V66,Y66,AB66,AE66,AH66,AK66,AN66,AQ66,AT66,AW66,AZ66,AZ66,BC66,BF66,BI66,BL66,BO66)</f>
        <v>1440000</v>
      </c>
      <c r="E66" s="292">
        <f t="shared" ref="E66:E75" si="95">SUM(H66,K66,N66,Q66,T66,W66,Z66,AC66,AF66,AI66,AL66,AO66,AR66,AU66,AX66,BA66,BA66,BD66,BG66,BJ66,BM66,BP66)</f>
        <v>1440000</v>
      </c>
      <c r="F66" s="293">
        <f t="shared" ref="F66:F75" si="96">SUM(I66,L66,O66,R66,U66,X66,AA66,AD66,AG66,AJ66,AM66,AP66,AS66,AV66,AY66,BB66,BB66,BE66,BH66,BK66,BN66,BQ66)</f>
        <v>0</v>
      </c>
      <c r="G66" s="294">
        <f t="shared" ref="G66:G75" si="97">G5</f>
        <v>90000</v>
      </c>
      <c r="H66" s="295">
        <f t="shared" ref="H66:H75" si="98">H5*(1+$BR$66)</f>
        <v>90000</v>
      </c>
      <c r="I66" s="296">
        <f>H66-G66</f>
        <v>0</v>
      </c>
      <c r="J66" s="294">
        <f t="shared" ref="J66:J75" si="99">J5</f>
        <v>1350000</v>
      </c>
      <c r="K66" s="295">
        <f t="shared" ref="K66:K75" si="100">K5*(1+$BR$66)</f>
        <v>1350000</v>
      </c>
      <c r="L66" s="296">
        <f>K66-J66</f>
        <v>0</v>
      </c>
      <c r="M66" s="294">
        <f t="shared" ref="M66:M75" si="101">M5</f>
        <v>0</v>
      </c>
      <c r="N66" s="295">
        <f t="shared" ref="N66:N75" si="102">N5*(1+$BR$66)</f>
        <v>0</v>
      </c>
      <c r="O66" s="296">
        <f>N66-M66</f>
        <v>0</v>
      </c>
      <c r="P66" s="294">
        <f t="shared" ref="P66:P75" si="103">P5</f>
        <v>0</v>
      </c>
      <c r="Q66" s="295">
        <f t="shared" ref="Q66:Q75" si="104">Q5*(1+$BR$66)</f>
        <v>0</v>
      </c>
      <c r="R66" s="296">
        <f t="shared" ref="R66:R75" si="105">Q66-P66</f>
        <v>0</v>
      </c>
      <c r="S66" s="294">
        <f t="shared" ref="S66:S75" si="106">S5</f>
        <v>0</v>
      </c>
      <c r="T66" s="295">
        <f t="shared" ref="T66:T75" si="107">T5*(1+$BR$66)</f>
        <v>0</v>
      </c>
      <c r="U66" s="296">
        <f t="shared" ref="U66:U75" si="108">T66-S66</f>
        <v>0</v>
      </c>
      <c r="V66" s="294">
        <f t="shared" ref="V66:V75" si="109">V5</f>
        <v>0</v>
      </c>
      <c r="W66" s="295">
        <f t="shared" ref="W66:W75" si="110">W5*(1+$BR$66)</f>
        <v>0</v>
      </c>
      <c r="X66" s="296">
        <f t="shared" ref="X66:X75" si="111">W66-V66</f>
        <v>0</v>
      </c>
      <c r="Y66" s="294">
        <f t="shared" ref="Y66:Y75" si="112">Y5</f>
        <v>0</v>
      </c>
      <c r="Z66" s="295">
        <f t="shared" ref="Z66:Z75" si="113">Z5*(1+$BR$66)</f>
        <v>0</v>
      </c>
      <c r="AA66" s="296">
        <f>Z66-Y66</f>
        <v>0</v>
      </c>
      <c r="AB66" s="294">
        <f t="shared" ref="AB66:AB75" si="114">AB5</f>
        <v>0</v>
      </c>
      <c r="AC66" s="295">
        <f t="shared" ref="AC66:AC75" si="115">AC5*(1+$BR$66)</f>
        <v>0</v>
      </c>
      <c r="AD66" s="296">
        <f>AC66-AB66</f>
        <v>0</v>
      </c>
      <c r="AE66" s="294">
        <f t="shared" ref="AE66:AE75" si="116">AE5</f>
        <v>0</v>
      </c>
      <c r="AF66" s="295">
        <f t="shared" ref="AF66:AF75" si="117">AF5*(1+$BR$66)</f>
        <v>0</v>
      </c>
      <c r="AG66" s="296">
        <f t="shared" ref="AG66:AG75" si="118">AF66-AE66</f>
        <v>0</v>
      </c>
      <c r="AH66" s="294">
        <f t="shared" ref="AH66:AH75" si="119">AH5</f>
        <v>0</v>
      </c>
      <c r="AI66" s="295">
        <f t="shared" ref="AI66:AI75" si="120">AI5*(1+$BR$66)</f>
        <v>0</v>
      </c>
      <c r="AJ66" s="296">
        <f t="shared" ref="AJ66:AJ75" si="121">AI66-AH66</f>
        <v>0</v>
      </c>
      <c r="AK66" s="294">
        <f t="shared" ref="AK66:AK75" si="122">AK5</f>
        <v>0</v>
      </c>
      <c r="AL66" s="295">
        <f t="shared" ref="AL66:AL75" si="123">AL5*(1+$BR$66)</f>
        <v>0</v>
      </c>
      <c r="AM66" s="296">
        <f t="shared" ref="AM66:AM75" si="124">AL66-AK66</f>
        <v>0</v>
      </c>
      <c r="AN66" s="294">
        <f t="shared" ref="AN66:AN75" si="125">AN5</f>
        <v>0</v>
      </c>
      <c r="AO66" s="295">
        <f t="shared" ref="AO66:AO75" si="126">AO5*(1+$BR$66)</f>
        <v>0</v>
      </c>
      <c r="AP66" s="296">
        <f>AO66-AN66</f>
        <v>0</v>
      </c>
      <c r="AQ66" s="294">
        <f t="shared" ref="AQ66:AQ75" si="127">AQ5</f>
        <v>0</v>
      </c>
      <c r="AR66" s="295">
        <f t="shared" ref="AR66:AR75" si="128">AR5*(1+$BR$66)</f>
        <v>0</v>
      </c>
      <c r="AS66" s="296">
        <f>AR66-AQ66</f>
        <v>0</v>
      </c>
      <c r="AT66" s="294">
        <f t="shared" ref="AT66:AT75" si="129">AT5</f>
        <v>0</v>
      </c>
      <c r="AU66" s="295">
        <f t="shared" ref="AU66:AU75" si="130">AU5*(1+$BR$66)</f>
        <v>0</v>
      </c>
      <c r="AV66" s="296">
        <f t="shared" ref="AV66:AV75" si="131">AU66-AT66</f>
        <v>0</v>
      </c>
      <c r="AW66" s="294">
        <f t="shared" ref="AW66:AW75" si="132">AW5</f>
        <v>0</v>
      </c>
      <c r="AX66" s="295">
        <f t="shared" ref="AX66:AX75" si="133">AX5*(1+$BR$66)</f>
        <v>0</v>
      </c>
      <c r="AY66" s="296">
        <f t="shared" ref="AY66:AY75" si="134">AX66-AW66</f>
        <v>0</v>
      </c>
      <c r="AZ66" s="294">
        <f t="shared" ref="AZ66:AZ75" si="135">AZ5</f>
        <v>0</v>
      </c>
      <c r="BA66" s="295">
        <f t="shared" ref="BA66:BA75" si="136">BA5*(1+$BR$66)</f>
        <v>0</v>
      </c>
      <c r="BB66" s="296">
        <f t="shared" ref="BB66:BB75" si="137">BA66-AZ66</f>
        <v>0</v>
      </c>
      <c r="BC66" s="294">
        <f t="shared" ref="BC66:BC75" si="138">BC5</f>
        <v>0</v>
      </c>
      <c r="BD66" s="295">
        <f t="shared" ref="BD66:BD75" si="139">BD5*(1+$BR$66)</f>
        <v>0</v>
      </c>
      <c r="BE66" s="296">
        <f>BD66-BC66</f>
        <v>0</v>
      </c>
      <c r="BF66" s="294">
        <f t="shared" ref="BF66:BF75" si="140">BF5</f>
        <v>0</v>
      </c>
      <c r="BG66" s="295">
        <f t="shared" ref="BG66:BG75" si="141">BG5*(1+$BR$66)</f>
        <v>0</v>
      </c>
      <c r="BH66" s="296">
        <f>BG66-BF66</f>
        <v>0</v>
      </c>
      <c r="BI66" s="294">
        <f t="shared" ref="BI66:BI75" si="142">BI5</f>
        <v>0</v>
      </c>
      <c r="BJ66" s="295">
        <f t="shared" ref="BJ66:BJ75" si="143">BJ5*(1+$BR$66)</f>
        <v>0</v>
      </c>
      <c r="BK66" s="296">
        <f t="shared" ref="BK66:BK75" si="144">BJ66-BI66</f>
        <v>0</v>
      </c>
      <c r="BL66" s="294">
        <f t="shared" ref="BL66:BL75" si="145">BL5</f>
        <v>0</v>
      </c>
      <c r="BM66" s="295">
        <f t="shared" ref="BM66:BM75" si="146">BM5*(1+$BR$66)</f>
        <v>0</v>
      </c>
      <c r="BN66" s="296">
        <f t="shared" ref="BN66:BN75" si="147">BM66-BL66</f>
        <v>0</v>
      </c>
      <c r="BO66" s="294">
        <f t="shared" ref="BO66:BO75" si="148">BO5</f>
        <v>0</v>
      </c>
      <c r="BP66" s="295">
        <f t="shared" ref="BP66:BP75" si="149">BP5*(1+$BR$66)</f>
        <v>0</v>
      </c>
      <c r="BQ66" s="296">
        <f t="shared" ref="BQ66:BQ75" si="150">BP66-BO66</f>
        <v>0</v>
      </c>
      <c r="BR66" s="297">
        <f>'Analyza citlivosti - AgendovéIS'!K7</f>
        <v>0</v>
      </c>
    </row>
    <row r="67" spans="1:70">
      <c r="A67" s="787"/>
      <c r="B67" s="789"/>
      <c r="C67" s="290" t="s">
        <v>26</v>
      </c>
      <c r="D67" s="291">
        <f t="shared" si="94"/>
        <v>2400000</v>
      </c>
      <c r="E67" s="292">
        <f t="shared" si="95"/>
        <v>2400000</v>
      </c>
      <c r="F67" s="293">
        <f t="shared" si="96"/>
        <v>0</v>
      </c>
      <c r="G67" s="298">
        <f t="shared" si="97"/>
        <v>150000</v>
      </c>
      <c r="H67" s="299">
        <f t="shared" si="98"/>
        <v>150000</v>
      </c>
      <c r="I67" s="262">
        <f t="shared" ref="I67:I75" si="151">H67-G67</f>
        <v>0</v>
      </c>
      <c r="J67" s="298">
        <f t="shared" si="99"/>
        <v>2250000</v>
      </c>
      <c r="K67" s="299">
        <f t="shared" si="100"/>
        <v>2250000</v>
      </c>
      <c r="L67" s="262">
        <f t="shared" ref="L67:L75" si="152">K67-J67</f>
        <v>0</v>
      </c>
      <c r="M67" s="298">
        <f t="shared" si="101"/>
        <v>0</v>
      </c>
      <c r="N67" s="299">
        <f t="shared" si="102"/>
        <v>0</v>
      </c>
      <c r="O67" s="262">
        <f t="shared" ref="O67:O75" si="153">N67-M67</f>
        <v>0</v>
      </c>
      <c r="P67" s="298">
        <f t="shared" si="103"/>
        <v>0</v>
      </c>
      <c r="Q67" s="299">
        <f t="shared" si="104"/>
        <v>0</v>
      </c>
      <c r="R67" s="262">
        <f t="shared" si="105"/>
        <v>0</v>
      </c>
      <c r="S67" s="298">
        <f t="shared" si="106"/>
        <v>0</v>
      </c>
      <c r="T67" s="299">
        <f t="shared" si="107"/>
        <v>0</v>
      </c>
      <c r="U67" s="262">
        <f t="shared" si="108"/>
        <v>0</v>
      </c>
      <c r="V67" s="298">
        <f t="shared" si="109"/>
        <v>0</v>
      </c>
      <c r="W67" s="299">
        <f t="shared" si="110"/>
        <v>0</v>
      </c>
      <c r="X67" s="262">
        <f t="shared" si="111"/>
        <v>0</v>
      </c>
      <c r="Y67" s="298">
        <f t="shared" si="112"/>
        <v>0</v>
      </c>
      <c r="Z67" s="299">
        <f t="shared" si="113"/>
        <v>0</v>
      </c>
      <c r="AA67" s="262">
        <f t="shared" ref="AA67:AA75" si="154">Z67-Y67</f>
        <v>0</v>
      </c>
      <c r="AB67" s="298">
        <f t="shared" si="114"/>
        <v>0</v>
      </c>
      <c r="AC67" s="299">
        <f t="shared" si="115"/>
        <v>0</v>
      </c>
      <c r="AD67" s="262">
        <f t="shared" ref="AD67:AD75" si="155">AC67-AB67</f>
        <v>0</v>
      </c>
      <c r="AE67" s="298">
        <f t="shared" si="116"/>
        <v>0</v>
      </c>
      <c r="AF67" s="299">
        <f t="shared" si="117"/>
        <v>0</v>
      </c>
      <c r="AG67" s="262">
        <f t="shared" si="118"/>
        <v>0</v>
      </c>
      <c r="AH67" s="298">
        <f t="shared" si="119"/>
        <v>0</v>
      </c>
      <c r="AI67" s="299">
        <f t="shared" si="120"/>
        <v>0</v>
      </c>
      <c r="AJ67" s="262">
        <f t="shared" si="121"/>
        <v>0</v>
      </c>
      <c r="AK67" s="298">
        <f t="shared" si="122"/>
        <v>0</v>
      </c>
      <c r="AL67" s="299">
        <f t="shared" si="123"/>
        <v>0</v>
      </c>
      <c r="AM67" s="262">
        <f t="shared" si="124"/>
        <v>0</v>
      </c>
      <c r="AN67" s="298">
        <f t="shared" si="125"/>
        <v>0</v>
      </c>
      <c r="AO67" s="299">
        <f t="shared" si="126"/>
        <v>0</v>
      </c>
      <c r="AP67" s="262">
        <f t="shared" ref="AP67:AP75" si="156">AO67-AN67</f>
        <v>0</v>
      </c>
      <c r="AQ67" s="298">
        <f t="shared" si="127"/>
        <v>0</v>
      </c>
      <c r="AR67" s="299">
        <f t="shared" si="128"/>
        <v>0</v>
      </c>
      <c r="AS67" s="262">
        <f t="shared" ref="AS67:AS75" si="157">AR67-AQ67</f>
        <v>0</v>
      </c>
      <c r="AT67" s="298">
        <f t="shared" si="129"/>
        <v>0</v>
      </c>
      <c r="AU67" s="299">
        <f t="shared" si="130"/>
        <v>0</v>
      </c>
      <c r="AV67" s="262">
        <f t="shared" si="131"/>
        <v>0</v>
      </c>
      <c r="AW67" s="298">
        <f t="shared" si="132"/>
        <v>0</v>
      </c>
      <c r="AX67" s="299">
        <f t="shared" si="133"/>
        <v>0</v>
      </c>
      <c r="AY67" s="262">
        <f t="shared" si="134"/>
        <v>0</v>
      </c>
      <c r="AZ67" s="298">
        <f t="shared" si="135"/>
        <v>0</v>
      </c>
      <c r="BA67" s="299">
        <f t="shared" si="136"/>
        <v>0</v>
      </c>
      <c r="BB67" s="262">
        <f t="shared" si="137"/>
        <v>0</v>
      </c>
      <c r="BC67" s="298">
        <f t="shared" si="138"/>
        <v>0</v>
      </c>
      <c r="BD67" s="299">
        <f t="shared" si="139"/>
        <v>0</v>
      </c>
      <c r="BE67" s="262">
        <f t="shared" ref="BE67:BE75" si="158">BD67-BC67</f>
        <v>0</v>
      </c>
      <c r="BF67" s="298">
        <f t="shared" si="140"/>
        <v>0</v>
      </c>
      <c r="BG67" s="299">
        <f t="shared" si="141"/>
        <v>0</v>
      </c>
      <c r="BH67" s="262">
        <f t="shared" ref="BH67:BH75" si="159">BG67-BF67</f>
        <v>0</v>
      </c>
      <c r="BI67" s="298">
        <f t="shared" si="142"/>
        <v>0</v>
      </c>
      <c r="BJ67" s="299">
        <f t="shared" si="143"/>
        <v>0</v>
      </c>
      <c r="BK67" s="262">
        <f t="shared" si="144"/>
        <v>0</v>
      </c>
      <c r="BL67" s="298">
        <f t="shared" si="145"/>
        <v>0</v>
      </c>
      <c r="BM67" s="299">
        <f t="shared" si="146"/>
        <v>0</v>
      </c>
      <c r="BN67" s="262">
        <f t="shared" si="147"/>
        <v>0</v>
      </c>
      <c r="BO67" s="298">
        <f t="shared" si="148"/>
        <v>0</v>
      </c>
      <c r="BP67" s="299">
        <f t="shared" si="149"/>
        <v>0</v>
      </c>
      <c r="BQ67" s="262">
        <f t="shared" si="150"/>
        <v>0</v>
      </c>
    </row>
    <row r="68" spans="1:70">
      <c r="A68" s="787"/>
      <c r="B68" s="789"/>
      <c r="C68" s="290" t="s">
        <v>27</v>
      </c>
      <c r="D68" s="291">
        <f t="shared" si="94"/>
        <v>2400000</v>
      </c>
      <c r="E68" s="292">
        <f t="shared" si="95"/>
        <v>2400000</v>
      </c>
      <c r="F68" s="293">
        <f t="shared" si="96"/>
        <v>0</v>
      </c>
      <c r="G68" s="298">
        <f t="shared" si="97"/>
        <v>150000</v>
      </c>
      <c r="H68" s="299">
        <f t="shared" si="98"/>
        <v>150000</v>
      </c>
      <c r="I68" s="262">
        <f t="shared" si="151"/>
        <v>0</v>
      </c>
      <c r="J68" s="298">
        <f t="shared" si="99"/>
        <v>2250000</v>
      </c>
      <c r="K68" s="299">
        <f t="shared" si="100"/>
        <v>2250000</v>
      </c>
      <c r="L68" s="262">
        <f t="shared" si="152"/>
        <v>0</v>
      </c>
      <c r="M68" s="298">
        <f t="shared" si="101"/>
        <v>0</v>
      </c>
      <c r="N68" s="299">
        <f t="shared" si="102"/>
        <v>0</v>
      </c>
      <c r="O68" s="262">
        <f t="shared" si="153"/>
        <v>0</v>
      </c>
      <c r="P68" s="298">
        <f t="shared" si="103"/>
        <v>0</v>
      </c>
      <c r="Q68" s="299">
        <f t="shared" si="104"/>
        <v>0</v>
      </c>
      <c r="R68" s="262">
        <f t="shared" si="105"/>
        <v>0</v>
      </c>
      <c r="S68" s="298">
        <f t="shared" si="106"/>
        <v>0</v>
      </c>
      <c r="T68" s="299">
        <f t="shared" si="107"/>
        <v>0</v>
      </c>
      <c r="U68" s="262">
        <f t="shared" si="108"/>
        <v>0</v>
      </c>
      <c r="V68" s="298">
        <f t="shared" si="109"/>
        <v>0</v>
      </c>
      <c r="W68" s="299">
        <f t="shared" si="110"/>
        <v>0</v>
      </c>
      <c r="X68" s="262">
        <f t="shared" si="111"/>
        <v>0</v>
      </c>
      <c r="Y68" s="298">
        <f t="shared" si="112"/>
        <v>0</v>
      </c>
      <c r="Z68" s="299">
        <f t="shared" si="113"/>
        <v>0</v>
      </c>
      <c r="AA68" s="262">
        <f t="shared" si="154"/>
        <v>0</v>
      </c>
      <c r="AB68" s="298">
        <f t="shared" si="114"/>
        <v>0</v>
      </c>
      <c r="AC68" s="299">
        <f t="shared" si="115"/>
        <v>0</v>
      </c>
      <c r="AD68" s="262">
        <f t="shared" si="155"/>
        <v>0</v>
      </c>
      <c r="AE68" s="298">
        <f t="shared" si="116"/>
        <v>0</v>
      </c>
      <c r="AF68" s="299">
        <f t="shared" si="117"/>
        <v>0</v>
      </c>
      <c r="AG68" s="262">
        <f t="shared" si="118"/>
        <v>0</v>
      </c>
      <c r="AH68" s="298">
        <f t="shared" si="119"/>
        <v>0</v>
      </c>
      <c r="AI68" s="299">
        <f t="shared" si="120"/>
        <v>0</v>
      </c>
      <c r="AJ68" s="262">
        <f t="shared" si="121"/>
        <v>0</v>
      </c>
      <c r="AK68" s="298">
        <f t="shared" si="122"/>
        <v>0</v>
      </c>
      <c r="AL68" s="299">
        <f t="shared" si="123"/>
        <v>0</v>
      </c>
      <c r="AM68" s="262">
        <f t="shared" si="124"/>
        <v>0</v>
      </c>
      <c r="AN68" s="298">
        <f t="shared" si="125"/>
        <v>0</v>
      </c>
      <c r="AO68" s="299">
        <f t="shared" si="126"/>
        <v>0</v>
      </c>
      <c r="AP68" s="262">
        <f t="shared" si="156"/>
        <v>0</v>
      </c>
      <c r="AQ68" s="298">
        <f t="shared" si="127"/>
        <v>0</v>
      </c>
      <c r="AR68" s="299">
        <f t="shared" si="128"/>
        <v>0</v>
      </c>
      <c r="AS68" s="262">
        <f t="shared" si="157"/>
        <v>0</v>
      </c>
      <c r="AT68" s="298">
        <f t="shared" si="129"/>
        <v>0</v>
      </c>
      <c r="AU68" s="299">
        <f t="shared" si="130"/>
        <v>0</v>
      </c>
      <c r="AV68" s="262">
        <f t="shared" si="131"/>
        <v>0</v>
      </c>
      <c r="AW68" s="298">
        <f t="shared" si="132"/>
        <v>0</v>
      </c>
      <c r="AX68" s="299">
        <f t="shared" si="133"/>
        <v>0</v>
      </c>
      <c r="AY68" s="262">
        <f t="shared" si="134"/>
        <v>0</v>
      </c>
      <c r="AZ68" s="298">
        <f t="shared" si="135"/>
        <v>0</v>
      </c>
      <c r="BA68" s="299">
        <f t="shared" si="136"/>
        <v>0</v>
      </c>
      <c r="BB68" s="262">
        <f t="shared" si="137"/>
        <v>0</v>
      </c>
      <c r="BC68" s="298">
        <f t="shared" si="138"/>
        <v>0</v>
      </c>
      <c r="BD68" s="299">
        <f t="shared" si="139"/>
        <v>0</v>
      </c>
      <c r="BE68" s="262">
        <f t="shared" si="158"/>
        <v>0</v>
      </c>
      <c r="BF68" s="298">
        <f t="shared" si="140"/>
        <v>0</v>
      </c>
      <c r="BG68" s="299">
        <f t="shared" si="141"/>
        <v>0</v>
      </c>
      <c r="BH68" s="262">
        <f t="shared" si="159"/>
        <v>0</v>
      </c>
      <c r="BI68" s="298">
        <f t="shared" si="142"/>
        <v>0</v>
      </c>
      <c r="BJ68" s="299">
        <f t="shared" si="143"/>
        <v>0</v>
      </c>
      <c r="BK68" s="262">
        <f t="shared" si="144"/>
        <v>0</v>
      </c>
      <c r="BL68" s="298">
        <f t="shared" si="145"/>
        <v>0</v>
      </c>
      <c r="BM68" s="299">
        <f t="shared" si="146"/>
        <v>0</v>
      </c>
      <c r="BN68" s="262">
        <f t="shared" si="147"/>
        <v>0</v>
      </c>
      <c r="BO68" s="298">
        <f t="shared" si="148"/>
        <v>0</v>
      </c>
      <c r="BP68" s="299">
        <f t="shared" si="149"/>
        <v>0</v>
      </c>
      <c r="BQ68" s="262">
        <f t="shared" si="150"/>
        <v>0</v>
      </c>
    </row>
    <row r="69" spans="1:70">
      <c r="A69" s="787"/>
      <c r="B69" s="789"/>
      <c r="C69" s="290" t="s">
        <v>28</v>
      </c>
      <c r="D69" s="291">
        <f t="shared" si="94"/>
        <v>2400000</v>
      </c>
      <c r="E69" s="292">
        <f t="shared" si="95"/>
        <v>2400000</v>
      </c>
      <c r="F69" s="293">
        <f t="shared" si="96"/>
        <v>0</v>
      </c>
      <c r="G69" s="298">
        <f t="shared" si="97"/>
        <v>150000</v>
      </c>
      <c r="H69" s="299">
        <f t="shared" si="98"/>
        <v>150000</v>
      </c>
      <c r="I69" s="262">
        <f t="shared" si="151"/>
        <v>0</v>
      </c>
      <c r="J69" s="298">
        <f t="shared" si="99"/>
        <v>2250000</v>
      </c>
      <c r="K69" s="299">
        <f t="shared" si="100"/>
        <v>2250000</v>
      </c>
      <c r="L69" s="262">
        <f t="shared" si="152"/>
        <v>0</v>
      </c>
      <c r="M69" s="298">
        <f t="shared" si="101"/>
        <v>0</v>
      </c>
      <c r="N69" s="299">
        <f t="shared" si="102"/>
        <v>0</v>
      </c>
      <c r="O69" s="262">
        <f t="shared" si="153"/>
        <v>0</v>
      </c>
      <c r="P69" s="298">
        <f t="shared" si="103"/>
        <v>0</v>
      </c>
      <c r="Q69" s="299">
        <f t="shared" si="104"/>
        <v>0</v>
      </c>
      <c r="R69" s="262">
        <f t="shared" si="105"/>
        <v>0</v>
      </c>
      <c r="S69" s="298">
        <f t="shared" si="106"/>
        <v>0</v>
      </c>
      <c r="T69" s="299">
        <f t="shared" si="107"/>
        <v>0</v>
      </c>
      <c r="U69" s="262">
        <f t="shared" si="108"/>
        <v>0</v>
      </c>
      <c r="V69" s="298">
        <f t="shared" si="109"/>
        <v>0</v>
      </c>
      <c r="W69" s="299">
        <f t="shared" si="110"/>
        <v>0</v>
      </c>
      <c r="X69" s="262">
        <f t="shared" si="111"/>
        <v>0</v>
      </c>
      <c r="Y69" s="298">
        <f t="shared" si="112"/>
        <v>0</v>
      </c>
      <c r="Z69" s="299">
        <f t="shared" si="113"/>
        <v>0</v>
      </c>
      <c r="AA69" s="262">
        <f t="shared" si="154"/>
        <v>0</v>
      </c>
      <c r="AB69" s="298">
        <f t="shared" si="114"/>
        <v>0</v>
      </c>
      <c r="AC69" s="299">
        <f t="shared" si="115"/>
        <v>0</v>
      </c>
      <c r="AD69" s="262">
        <f t="shared" si="155"/>
        <v>0</v>
      </c>
      <c r="AE69" s="298">
        <f t="shared" si="116"/>
        <v>0</v>
      </c>
      <c r="AF69" s="299">
        <f t="shared" si="117"/>
        <v>0</v>
      </c>
      <c r="AG69" s="262">
        <f t="shared" si="118"/>
        <v>0</v>
      </c>
      <c r="AH69" s="298">
        <f t="shared" si="119"/>
        <v>0</v>
      </c>
      <c r="AI69" s="299">
        <f t="shared" si="120"/>
        <v>0</v>
      </c>
      <c r="AJ69" s="262">
        <f t="shared" si="121"/>
        <v>0</v>
      </c>
      <c r="AK69" s="298">
        <f t="shared" si="122"/>
        <v>0</v>
      </c>
      <c r="AL69" s="299">
        <f t="shared" si="123"/>
        <v>0</v>
      </c>
      <c r="AM69" s="262">
        <f t="shared" si="124"/>
        <v>0</v>
      </c>
      <c r="AN69" s="298">
        <f t="shared" si="125"/>
        <v>0</v>
      </c>
      <c r="AO69" s="299">
        <f t="shared" si="126"/>
        <v>0</v>
      </c>
      <c r="AP69" s="262">
        <f t="shared" si="156"/>
        <v>0</v>
      </c>
      <c r="AQ69" s="298">
        <f t="shared" si="127"/>
        <v>0</v>
      </c>
      <c r="AR69" s="299">
        <f t="shared" si="128"/>
        <v>0</v>
      </c>
      <c r="AS69" s="262">
        <f t="shared" si="157"/>
        <v>0</v>
      </c>
      <c r="AT69" s="298">
        <f t="shared" si="129"/>
        <v>0</v>
      </c>
      <c r="AU69" s="299">
        <f t="shared" si="130"/>
        <v>0</v>
      </c>
      <c r="AV69" s="262">
        <f t="shared" si="131"/>
        <v>0</v>
      </c>
      <c r="AW69" s="298">
        <f t="shared" si="132"/>
        <v>0</v>
      </c>
      <c r="AX69" s="299">
        <f t="shared" si="133"/>
        <v>0</v>
      </c>
      <c r="AY69" s="262">
        <f t="shared" si="134"/>
        <v>0</v>
      </c>
      <c r="AZ69" s="298">
        <f t="shared" si="135"/>
        <v>0</v>
      </c>
      <c r="BA69" s="299">
        <f t="shared" si="136"/>
        <v>0</v>
      </c>
      <c r="BB69" s="262">
        <f t="shared" si="137"/>
        <v>0</v>
      </c>
      <c r="BC69" s="298">
        <f t="shared" si="138"/>
        <v>0</v>
      </c>
      <c r="BD69" s="299">
        <f t="shared" si="139"/>
        <v>0</v>
      </c>
      <c r="BE69" s="262">
        <f t="shared" si="158"/>
        <v>0</v>
      </c>
      <c r="BF69" s="298">
        <f t="shared" si="140"/>
        <v>0</v>
      </c>
      <c r="BG69" s="299">
        <f t="shared" si="141"/>
        <v>0</v>
      </c>
      <c r="BH69" s="262">
        <f t="shared" si="159"/>
        <v>0</v>
      </c>
      <c r="BI69" s="298">
        <f t="shared" si="142"/>
        <v>0</v>
      </c>
      <c r="BJ69" s="299">
        <f t="shared" si="143"/>
        <v>0</v>
      </c>
      <c r="BK69" s="262">
        <f t="shared" si="144"/>
        <v>0</v>
      </c>
      <c r="BL69" s="298">
        <f t="shared" si="145"/>
        <v>0</v>
      </c>
      <c r="BM69" s="299">
        <f t="shared" si="146"/>
        <v>0</v>
      </c>
      <c r="BN69" s="262">
        <f t="shared" si="147"/>
        <v>0</v>
      </c>
      <c r="BO69" s="298">
        <f t="shared" si="148"/>
        <v>0</v>
      </c>
      <c r="BP69" s="299">
        <f t="shared" si="149"/>
        <v>0</v>
      </c>
      <c r="BQ69" s="262">
        <f t="shared" si="150"/>
        <v>0</v>
      </c>
    </row>
    <row r="70" spans="1:70">
      <c r="A70" s="787"/>
      <c r="B70" s="789"/>
      <c r="C70" s="290" t="s">
        <v>29</v>
      </c>
      <c r="D70" s="291">
        <f t="shared" si="94"/>
        <v>2400000</v>
      </c>
      <c r="E70" s="292">
        <f t="shared" si="95"/>
        <v>2400000</v>
      </c>
      <c r="F70" s="293">
        <f t="shared" si="96"/>
        <v>0</v>
      </c>
      <c r="G70" s="298">
        <f t="shared" si="97"/>
        <v>150000</v>
      </c>
      <c r="H70" s="299">
        <f t="shared" si="98"/>
        <v>150000</v>
      </c>
      <c r="I70" s="262">
        <f t="shared" si="151"/>
        <v>0</v>
      </c>
      <c r="J70" s="298">
        <f t="shared" si="99"/>
        <v>2250000</v>
      </c>
      <c r="K70" s="299">
        <f t="shared" si="100"/>
        <v>2250000</v>
      </c>
      <c r="L70" s="262">
        <f t="shared" si="152"/>
        <v>0</v>
      </c>
      <c r="M70" s="298">
        <f t="shared" si="101"/>
        <v>0</v>
      </c>
      <c r="N70" s="299">
        <f t="shared" si="102"/>
        <v>0</v>
      </c>
      <c r="O70" s="262">
        <f t="shared" si="153"/>
        <v>0</v>
      </c>
      <c r="P70" s="298">
        <f t="shared" si="103"/>
        <v>0</v>
      </c>
      <c r="Q70" s="299">
        <f t="shared" si="104"/>
        <v>0</v>
      </c>
      <c r="R70" s="262">
        <f t="shared" si="105"/>
        <v>0</v>
      </c>
      <c r="S70" s="298">
        <f t="shared" si="106"/>
        <v>0</v>
      </c>
      <c r="T70" s="299">
        <f t="shared" si="107"/>
        <v>0</v>
      </c>
      <c r="U70" s="262">
        <f t="shared" si="108"/>
        <v>0</v>
      </c>
      <c r="V70" s="298">
        <f t="shared" si="109"/>
        <v>0</v>
      </c>
      <c r="W70" s="299">
        <f t="shared" si="110"/>
        <v>0</v>
      </c>
      <c r="X70" s="262">
        <f t="shared" si="111"/>
        <v>0</v>
      </c>
      <c r="Y70" s="298">
        <f t="shared" si="112"/>
        <v>0</v>
      </c>
      <c r="Z70" s="299">
        <f t="shared" si="113"/>
        <v>0</v>
      </c>
      <c r="AA70" s="262">
        <f t="shared" si="154"/>
        <v>0</v>
      </c>
      <c r="AB70" s="298">
        <f t="shared" si="114"/>
        <v>0</v>
      </c>
      <c r="AC70" s="299">
        <f t="shared" si="115"/>
        <v>0</v>
      </c>
      <c r="AD70" s="262">
        <f t="shared" si="155"/>
        <v>0</v>
      </c>
      <c r="AE70" s="298">
        <f t="shared" si="116"/>
        <v>0</v>
      </c>
      <c r="AF70" s="299">
        <f t="shared" si="117"/>
        <v>0</v>
      </c>
      <c r="AG70" s="262">
        <f t="shared" si="118"/>
        <v>0</v>
      </c>
      <c r="AH70" s="298">
        <f t="shared" si="119"/>
        <v>0</v>
      </c>
      <c r="AI70" s="299">
        <f t="shared" si="120"/>
        <v>0</v>
      </c>
      <c r="AJ70" s="262">
        <f t="shared" si="121"/>
        <v>0</v>
      </c>
      <c r="AK70" s="298">
        <f t="shared" si="122"/>
        <v>0</v>
      </c>
      <c r="AL70" s="299">
        <f t="shared" si="123"/>
        <v>0</v>
      </c>
      <c r="AM70" s="262">
        <f t="shared" si="124"/>
        <v>0</v>
      </c>
      <c r="AN70" s="298">
        <f t="shared" si="125"/>
        <v>0</v>
      </c>
      <c r="AO70" s="299">
        <f t="shared" si="126"/>
        <v>0</v>
      </c>
      <c r="AP70" s="262">
        <f t="shared" si="156"/>
        <v>0</v>
      </c>
      <c r="AQ70" s="298">
        <f t="shared" si="127"/>
        <v>0</v>
      </c>
      <c r="AR70" s="299">
        <f t="shared" si="128"/>
        <v>0</v>
      </c>
      <c r="AS70" s="262">
        <f t="shared" si="157"/>
        <v>0</v>
      </c>
      <c r="AT70" s="298">
        <f t="shared" si="129"/>
        <v>0</v>
      </c>
      <c r="AU70" s="299">
        <f t="shared" si="130"/>
        <v>0</v>
      </c>
      <c r="AV70" s="262">
        <f t="shared" si="131"/>
        <v>0</v>
      </c>
      <c r="AW70" s="298">
        <f t="shared" si="132"/>
        <v>0</v>
      </c>
      <c r="AX70" s="299">
        <f t="shared" si="133"/>
        <v>0</v>
      </c>
      <c r="AY70" s="262">
        <f t="shared" si="134"/>
        <v>0</v>
      </c>
      <c r="AZ70" s="298">
        <f t="shared" si="135"/>
        <v>0</v>
      </c>
      <c r="BA70" s="299">
        <f t="shared" si="136"/>
        <v>0</v>
      </c>
      <c r="BB70" s="262">
        <f t="shared" si="137"/>
        <v>0</v>
      </c>
      <c r="BC70" s="298">
        <f t="shared" si="138"/>
        <v>0</v>
      </c>
      <c r="BD70" s="299">
        <f t="shared" si="139"/>
        <v>0</v>
      </c>
      <c r="BE70" s="262">
        <f t="shared" si="158"/>
        <v>0</v>
      </c>
      <c r="BF70" s="298">
        <f t="shared" si="140"/>
        <v>0</v>
      </c>
      <c r="BG70" s="299">
        <f t="shared" si="141"/>
        <v>0</v>
      </c>
      <c r="BH70" s="262">
        <f t="shared" si="159"/>
        <v>0</v>
      </c>
      <c r="BI70" s="298">
        <f t="shared" si="142"/>
        <v>0</v>
      </c>
      <c r="BJ70" s="299">
        <f t="shared" si="143"/>
        <v>0</v>
      </c>
      <c r="BK70" s="262">
        <f t="shared" si="144"/>
        <v>0</v>
      </c>
      <c r="BL70" s="298">
        <f t="shared" si="145"/>
        <v>0</v>
      </c>
      <c r="BM70" s="299">
        <f t="shared" si="146"/>
        <v>0</v>
      </c>
      <c r="BN70" s="262">
        <f t="shared" si="147"/>
        <v>0</v>
      </c>
      <c r="BO70" s="298">
        <f t="shared" si="148"/>
        <v>0</v>
      </c>
      <c r="BP70" s="299">
        <f t="shared" si="149"/>
        <v>0</v>
      </c>
      <c r="BQ70" s="262">
        <f t="shared" si="150"/>
        <v>0</v>
      </c>
    </row>
    <row r="71" spans="1:70">
      <c r="A71" s="787"/>
      <c r="B71" s="789"/>
      <c r="C71" s="290" t="s">
        <v>30</v>
      </c>
      <c r="D71" s="291">
        <f t="shared" si="94"/>
        <v>2400000</v>
      </c>
      <c r="E71" s="292">
        <f t="shared" si="95"/>
        <v>2400000</v>
      </c>
      <c r="F71" s="293">
        <f t="shared" si="96"/>
        <v>0</v>
      </c>
      <c r="G71" s="298">
        <f t="shared" si="97"/>
        <v>150000</v>
      </c>
      <c r="H71" s="299">
        <f t="shared" si="98"/>
        <v>150000</v>
      </c>
      <c r="I71" s="262">
        <f t="shared" si="151"/>
        <v>0</v>
      </c>
      <c r="J71" s="298">
        <f t="shared" si="99"/>
        <v>2250000</v>
      </c>
      <c r="K71" s="299">
        <f t="shared" si="100"/>
        <v>2250000</v>
      </c>
      <c r="L71" s="262">
        <f t="shared" si="152"/>
        <v>0</v>
      </c>
      <c r="M71" s="298">
        <f t="shared" si="101"/>
        <v>0</v>
      </c>
      <c r="N71" s="299">
        <f t="shared" si="102"/>
        <v>0</v>
      </c>
      <c r="O71" s="262">
        <f t="shared" si="153"/>
        <v>0</v>
      </c>
      <c r="P71" s="298">
        <f t="shared" si="103"/>
        <v>0</v>
      </c>
      <c r="Q71" s="299">
        <f t="shared" si="104"/>
        <v>0</v>
      </c>
      <c r="R71" s="262">
        <f t="shared" si="105"/>
        <v>0</v>
      </c>
      <c r="S71" s="298">
        <f t="shared" si="106"/>
        <v>0</v>
      </c>
      <c r="T71" s="299">
        <f t="shared" si="107"/>
        <v>0</v>
      </c>
      <c r="U71" s="262">
        <f t="shared" si="108"/>
        <v>0</v>
      </c>
      <c r="V71" s="298">
        <f t="shared" si="109"/>
        <v>0</v>
      </c>
      <c r="W71" s="299">
        <f t="shared" si="110"/>
        <v>0</v>
      </c>
      <c r="X71" s="262">
        <f t="shared" si="111"/>
        <v>0</v>
      </c>
      <c r="Y71" s="298">
        <f t="shared" si="112"/>
        <v>0</v>
      </c>
      <c r="Z71" s="299">
        <f t="shared" si="113"/>
        <v>0</v>
      </c>
      <c r="AA71" s="262">
        <f t="shared" si="154"/>
        <v>0</v>
      </c>
      <c r="AB71" s="298">
        <f t="shared" si="114"/>
        <v>0</v>
      </c>
      <c r="AC71" s="299">
        <f t="shared" si="115"/>
        <v>0</v>
      </c>
      <c r="AD71" s="262">
        <f t="shared" si="155"/>
        <v>0</v>
      </c>
      <c r="AE71" s="298">
        <f t="shared" si="116"/>
        <v>0</v>
      </c>
      <c r="AF71" s="299">
        <f t="shared" si="117"/>
        <v>0</v>
      </c>
      <c r="AG71" s="262">
        <f t="shared" si="118"/>
        <v>0</v>
      </c>
      <c r="AH71" s="298">
        <f t="shared" si="119"/>
        <v>0</v>
      </c>
      <c r="AI71" s="299">
        <f t="shared" si="120"/>
        <v>0</v>
      </c>
      <c r="AJ71" s="262">
        <f t="shared" si="121"/>
        <v>0</v>
      </c>
      <c r="AK71" s="298">
        <f t="shared" si="122"/>
        <v>0</v>
      </c>
      <c r="AL71" s="299">
        <f t="shared" si="123"/>
        <v>0</v>
      </c>
      <c r="AM71" s="262">
        <f t="shared" si="124"/>
        <v>0</v>
      </c>
      <c r="AN71" s="298">
        <f t="shared" si="125"/>
        <v>0</v>
      </c>
      <c r="AO71" s="299">
        <f t="shared" si="126"/>
        <v>0</v>
      </c>
      <c r="AP71" s="262">
        <f t="shared" si="156"/>
        <v>0</v>
      </c>
      <c r="AQ71" s="298">
        <f t="shared" si="127"/>
        <v>0</v>
      </c>
      <c r="AR71" s="299">
        <f t="shared" si="128"/>
        <v>0</v>
      </c>
      <c r="AS71" s="262">
        <f t="shared" si="157"/>
        <v>0</v>
      </c>
      <c r="AT71" s="298">
        <f t="shared" si="129"/>
        <v>0</v>
      </c>
      <c r="AU71" s="299">
        <f t="shared" si="130"/>
        <v>0</v>
      </c>
      <c r="AV71" s="262">
        <f t="shared" si="131"/>
        <v>0</v>
      </c>
      <c r="AW71" s="298">
        <f t="shared" si="132"/>
        <v>0</v>
      </c>
      <c r="AX71" s="299">
        <f t="shared" si="133"/>
        <v>0</v>
      </c>
      <c r="AY71" s="262">
        <f t="shared" si="134"/>
        <v>0</v>
      </c>
      <c r="AZ71" s="298">
        <f t="shared" si="135"/>
        <v>0</v>
      </c>
      <c r="BA71" s="299">
        <f t="shared" si="136"/>
        <v>0</v>
      </c>
      <c r="BB71" s="262">
        <f t="shared" si="137"/>
        <v>0</v>
      </c>
      <c r="BC71" s="298">
        <f t="shared" si="138"/>
        <v>0</v>
      </c>
      <c r="BD71" s="299">
        <f t="shared" si="139"/>
        <v>0</v>
      </c>
      <c r="BE71" s="262">
        <f t="shared" si="158"/>
        <v>0</v>
      </c>
      <c r="BF71" s="298">
        <f t="shared" si="140"/>
        <v>0</v>
      </c>
      <c r="BG71" s="299">
        <f t="shared" si="141"/>
        <v>0</v>
      </c>
      <c r="BH71" s="262">
        <f t="shared" si="159"/>
        <v>0</v>
      </c>
      <c r="BI71" s="298">
        <f t="shared" si="142"/>
        <v>0</v>
      </c>
      <c r="BJ71" s="299">
        <f t="shared" si="143"/>
        <v>0</v>
      </c>
      <c r="BK71" s="262">
        <f t="shared" si="144"/>
        <v>0</v>
      </c>
      <c r="BL71" s="298">
        <f t="shared" si="145"/>
        <v>0</v>
      </c>
      <c r="BM71" s="299">
        <f t="shared" si="146"/>
        <v>0</v>
      </c>
      <c r="BN71" s="262">
        <f t="shared" si="147"/>
        <v>0</v>
      </c>
      <c r="BO71" s="298">
        <f t="shared" si="148"/>
        <v>0</v>
      </c>
      <c r="BP71" s="299">
        <f t="shared" si="149"/>
        <v>0</v>
      </c>
      <c r="BQ71" s="262">
        <f t="shared" si="150"/>
        <v>0</v>
      </c>
    </row>
    <row r="72" spans="1:70">
      <c r="A72" s="787"/>
      <c r="B72" s="789"/>
      <c r="C72" s="290" t="s">
        <v>31</v>
      </c>
      <c r="D72" s="291">
        <f t="shared" si="94"/>
        <v>2400000</v>
      </c>
      <c r="E72" s="292">
        <f t="shared" si="95"/>
        <v>2400000</v>
      </c>
      <c r="F72" s="293">
        <f t="shared" si="96"/>
        <v>0</v>
      </c>
      <c r="G72" s="298">
        <f t="shared" si="97"/>
        <v>150000</v>
      </c>
      <c r="H72" s="299">
        <f t="shared" si="98"/>
        <v>150000</v>
      </c>
      <c r="I72" s="262">
        <f t="shared" si="151"/>
        <v>0</v>
      </c>
      <c r="J72" s="298">
        <f t="shared" si="99"/>
        <v>2250000</v>
      </c>
      <c r="K72" s="299">
        <f t="shared" si="100"/>
        <v>2250000</v>
      </c>
      <c r="L72" s="262">
        <f t="shared" si="152"/>
        <v>0</v>
      </c>
      <c r="M72" s="298">
        <f t="shared" si="101"/>
        <v>0</v>
      </c>
      <c r="N72" s="299">
        <f t="shared" si="102"/>
        <v>0</v>
      </c>
      <c r="O72" s="262">
        <f t="shared" si="153"/>
        <v>0</v>
      </c>
      <c r="P72" s="298">
        <f t="shared" si="103"/>
        <v>0</v>
      </c>
      <c r="Q72" s="299">
        <f t="shared" si="104"/>
        <v>0</v>
      </c>
      <c r="R72" s="262">
        <f t="shared" si="105"/>
        <v>0</v>
      </c>
      <c r="S72" s="298">
        <f t="shared" si="106"/>
        <v>0</v>
      </c>
      <c r="T72" s="299">
        <f t="shared" si="107"/>
        <v>0</v>
      </c>
      <c r="U72" s="262">
        <f t="shared" si="108"/>
        <v>0</v>
      </c>
      <c r="V72" s="298">
        <f t="shared" si="109"/>
        <v>0</v>
      </c>
      <c r="W72" s="299">
        <f t="shared" si="110"/>
        <v>0</v>
      </c>
      <c r="X72" s="262">
        <f t="shared" si="111"/>
        <v>0</v>
      </c>
      <c r="Y72" s="298">
        <f t="shared" si="112"/>
        <v>0</v>
      </c>
      <c r="Z72" s="299">
        <f t="shared" si="113"/>
        <v>0</v>
      </c>
      <c r="AA72" s="262">
        <f t="shared" si="154"/>
        <v>0</v>
      </c>
      <c r="AB72" s="298">
        <f t="shared" si="114"/>
        <v>0</v>
      </c>
      <c r="AC72" s="299">
        <f t="shared" si="115"/>
        <v>0</v>
      </c>
      <c r="AD72" s="262">
        <f t="shared" si="155"/>
        <v>0</v>
      </c>
      <c r="AE72" s="298">
        <f t="shared" si="116"/>
        <v>0</v>
      </c>
      <c r="AF72" s="299">
        <f t="shared" si="117"/>
        <v>0</v>
      </c>
      <c r="AG72" s="262">
        <f t="shared" si="118"/>
        <v>0</v>
      </c>
      <c r="AH72" s="298">
        <f t="shared" si="119"/>
        <v>0</v>
      </c>
      <c r="AI72" s="299">
        <f t="shared" si="120"/>
        <v>0</v>
      </c>
      <c r="AJ72" s="262">
        <f t="shared" si="121"/>
        <v>0</v>
      </c>
      <c r="AK72" s="298">
        <f t="shared" si="122"/>
        <v>0</v>
      </c>
      <c r="AL72" s="299">
        <f t="shared" si="123"/>
        <v>0</v>
      </c>
      <c r="AM72" s="262">
        <f t="shared" si="124"/>
        <v>0</v>
      </c>
      <c r="AN72" s="298">
        <f t="shared" si="125"/>
        <v>0</v>
      </c>
      <c r="AO72" s="299">
        <f t="shared" si="126"/>
        <v>0</v>
      </c>
      <c r="AP72" s="262">
        <f t="shared" si="156"/>
        <v>0</v>
      </c>
      <c r="AQ72" s="298">
        <f t="shared" si="127"/>
        <v>0</v>
      </c>
      <c r="AR72" s="299">
        <f t="shared" si="128"/>
        <v>0</v>
      </c>
      <c r="AS72" s="262">
        <f t="shared" si="157"/>
        <v>0</v>
      </c>
      <c r="AT72" s="298">
        <f t="shared" si="129"/>
        <v>0</v>
      </c>
      <c r="AU72" s="299">
        <f t="shared" si="130"/>
        <v>0</v>
      </c>
      <c r="AV72" s="262">
        <f t="shared" si="131"/>
        <v>0</v>
      </c>
      <c r="AW72" s="298">
        <f t="shared" si="132"/>
        <v>0</v>
      </c>
      <c r="AX72" s="299">
        <f t="shared" si="133"/>
        <v>0</v>
      </c>
      <c r="AY72" s="262">
        <f t="shared" si="134"/>
        <v>0</v>
      </c>
      <c r="AZ72" s="298">
        <f t="shared" si="135"/>
        <v>0</v>
      </c>
      <c r="BA72" s="299">
        <f t="shared" si="136"/>
        <v>0</v>
      </c>
      <c r="BB72" s="262">
        <f t="shared" si="137"/>
        <v>0</v>
      </c>
      <c r="BC72" s="298">
        <f t="shared" si="138"/>
        <v>0</v>
      </c>
      <c r="BD72" s="299">
        <f t="shared" si="139"/>
        <v>0</v>
      </c>
      <c r="BE72" s="262">
        <f t="shared" si="158"/>
        <v>0</v>
      </c>
      <c r="BF72" s="298">
        <f t="shared" si="140"/>
        <v>0</v>
      </c>
      <c r="BG72" s="299">
        <f t="shared" si="141"/>
        <v>0</v>
      </c>
      <c r="BH72" s="262">
        <f t="shared" si="159"/>
        <v>0</v>
      </c>
      <c r="BI72" s="298">
        <f t="shared" si="142"/>
        <v>0</v>
      </c>
      <c r="BJ72" s="299">
        <f t="shared" si="143"/>
        <v>0</v>
      </c>
      <c r="BK72" s="262">
        <f t="shared" si="144"/>
        <v>0</v>
      </c>
      <c r="BL72" s="298">
        <f t="shared" si="145"/>
        <v>0</v>
      </c>
      <c r="BM72" s="299">
        <f t="shared" si="146"/>
        <v>0</v>
      </c>
      <c r="BN72" s="262">
        <f t="shared" si="147"/>
        <v>0</v>
      </c>
      <c r="BO72" s="298">
        <f t="shared" si="148"/>
        <v>0</v>
      </c>
      <c r="BP72" s="299">
        <f t="shared" si="149"/>
        <v>0</v>
      </c>
      <c r="BQ72" s="262">
        <f t="shared" si="150"/>
        <v>0</v>
      </c>
    </row>
    <row r="73" spans="1:70">
      <c r="A73" s="787"/>
      <c r="B73" s="789"/>
      <c r="C73" s="290" t="s">
        <v>32</v>
      </c>
      <c r="D73" s="291">
        <f t="shared" si="94"/>
        <v>2400000</v>
      </c>
      <c r="E73" s="292">
        <f t="shared" si="95"/>
        <v>2400000</v>
      </c>
      <c r="F73" s="293">
        <f t="shared" si="96"/>
        <v>0</v>
      </c>
      <c r="G73" s="298">
        <f t="shared" si="97"/>
        <v>150000</v>
      </c>
      <c r="H73" s="299">
        <f t="shared" si="98"/>
        <v>150000</v>
      </c>
      <c r="I73" s="262">
        <f t="shared" si="151"/>
        <v>0</v>
      </c>
      <c r="J73" s="298">
        <f t="shared" si="99"/>
        <v>2250000</v>
      </c>
      <c r="K73" s="299">
        <f t="shared" si="100"/>
        <v>2250000</v>
      </c>
      <c r="L73" s="262">
        <f t="shared" si="152"/>
        <v>0</v>
      </c>
      <c r="M73" s="298">
        <f t="shared" si="101"/>
        <v>0</v>
      </c>
      <c r="N73" s="299">
        <f t="shared" si="102"/>
        <v>0</v>
      </c>
      <c r="O73" s="262">
        <f t="shared" si="153"/>
        <v>0</v>
      </c>
      <c r="P73" s="298">
        <f t="shared" si="103"/>
        <v>0</v>
      </c>
      <c r="Q73" s="299">
        <f t="shared" si="104"/>
        <v>0</v>
      </c>
      <c r="R73" s="262">
        <f t="shared" si="105"/>
        <v>0</v>
      </c>
      <c r="S73" s="298">
        <f t="shared" si="106"/>
        <v>0</v>
      </c>
      <c r="T73" s="299">
        <f t="shared" si="107"/>
        <v>0</v>
      </c>
      <c r="U73" s="262">
        <f t="shared" si="108"/>
        <v>0</v>
      </c>
      <c r="V73" s="298">
        <f t="shared" si="109"/>
        <v>0</v>
      </c>
      <c r="W73" s="299">
        <f t="shared" si="110"/>
        <v>0</v>
      </c>
      <c r="X73" s="262">
        <f t="shared" si="111"/>
        <v>0</v>
      </c>
      <c r="Y73" s="298">
        <f t="shared" si="112"/>
        <v>0</v>
      </c>
      <c r="Z73" s="299">
        <f t="shared" si="113"/>
        <v>0</v>
      </c>
      <c r="AA73" s="262">
        <f t="shared" si="154"/>
        <v>0</v>
      </c>
      <c r="AB73" s="298">
        <f t="shared" si="114"/>
        <v>0</v>
      </c>
      <c r="AC73" s="299">
        <f t="shared" si="115"/>
        <v>0</v>
      </c>
      <c r="AD73" s="262">
        <f t="shared" si="155"/>
        <v>0</v>
      </c>
      <c r="AE73" s="298">
        <f t="shared" si="116"/>
        <v>0</v>
      </c>
      <c r="AF73" s="299">
        <f t="shared" si="117"/>
        <v>0</v>
      </c>
      <c r="AG73" s="262">
        <f t="shared" si="118"/>
        <v>0</v>
      </c>
      <c r="AH73" s="298">
        <f t="shared" si="119"/>
        <v>0</v>
      </c>
      <c r="AI73" s="299">
        <f t="shared" si="120"/>
        <v>0</v>
      </c>
      <c r="AJ73" s="262">
        <f t="shared" si="121"/>
        <v>0</v>
      </c>
      <c r="AK73" s="298">
        <f t="shared" si="122"/>
        <v>0</v>
      </c>
      <c r="AL73" s="299">
        <f t="shared" si="123"/>
        <v>0</v>
      </c>
      <c r="AM73" s="262">
        <f t="shared" si="124"/>
        <v>0</v>
      </c>
      <c r="AN73" s="298">
        <f t="shared" si="125"/>
        <v>0</v>
      </c>
      <c r="AO73" s="299">
        <f t="shared" si="126"/>
        <v>0</v>
      </c>
      <c r="AP73" s="262">
        <f t="shared" si="156"/>
        <v>0</v>
      </c>
      <c r="AQ73" s="298">
        <f t="shared" si="127"/>
        <v>0</v>
      </c>
      <c r="AR73" s="299">
        <f t="shared" si="128"/>
        <v>0</v>
      </c>
      <c r="AS73" s="262">
        <f t="shared" si="157"/>
        <v>0</v>
      </c>
      <c r="AT73" s="298">
        <f t="shared" si="129"/>
        <v>0</v>
      </c>
      <c r="AU73" s="299">
        <f t="shared" si="130"/>
        <v>0</v>
      </c>
      <c r="AV73" s="262">
        <f t="shared" si="131"/>
        <v>0</v>
      </c>
      <c r="AW73" s="298">
        <f t="shared" si="132"/>
        <v>0</v>
      </c>
      <c r="AX73" s="299">
        <f t="shared" si="133"/>
        <v>0</v>
      </c>
      <c r="AY73" s="262">
        <f t="shared" si="134"/>
        <v>0</v>
      </c>
      <c r="AZ73" s="298">
        <f t="shared" si="135"/>
        <v>0</v>
      </c>
      <c r="BA73" s="299">
        <f t="shared" si="136"/>
        <v>0</v>
      </c>
      <c r="BB73" s="262">
        <f t="shared" si="137"/>
        <v>0</v>
      </c>
      <c r="BC73" s="298">
        <f t="shared" si="138"/>
        <v>0</v>
      </c>
      <c r="BD73" s="299">
        <f t="shared" si="139"/>
        <v>0</v>
      </c>
      <c r="BE73" s="262">
        <f t="shared" si="158"/>
        <v>0</v>
      </c>
      <c r="BF73" s="298">
        <f t="shared" si="140"/>
        <v>0</v>
      </c>
      <c r="BG73" s="299">
        <f t="shared" si="141"/>
        <v>0</v>
      </c>
      <c r="BH73" s="262">
        <f t="shared" si="159"/>
        <v>0</v>
      </c>
      <c r="BI73" s="298">
        <f t="shared" si="142"/>
        <v>0</v>
      </c>
      <c r="BJ73" s="299">
        <f t="shared" si="143"/>
        <v>0</v>
      </c>
      <c r="BK73" s="262">
        <f t="shared" si="144"/>
        <v>0</v>
      </c>
      <c r="BL73" s="298">
        <f t="shared" si="145"/>
        <v>0</v>
      </c>
      <c r="BM73" s="299">
        <f t="shared" si="146"/>
        <v>0</v>
      </c>
      <c r="BN73" s="262">
        <f t="shared" si="147"/>
        <v>0</v>
      </c>
      <c r="BO73" s="298">
        <f t="shared" si="148"/>
        <v>0</v>
      </c>
      <c r="BP73" s="299">
        <f t="shared" si="149"/>
        <v>0</v>
      </c>
      <c r="BQ73" s="262">
        <f t="shared" si="150"/>
        <v>0</v>
      </c>
    </row>
    <row r="74" spans="1:70">
      <c r="A74" s="787"/>
      <c r="B74" s="789"/>
      <c r="C74" s="290" t="s">
        <v>33</v>
      </c>
      <c r="D74" s="291">
        <f t="shared" si="94"/>
        <v>2400000</v>
      </c>
      <c r="E74" s="292">
        <f t="shared" si="95"/>
        <v>2400000</v>
      </c>
      <c r="F74" s="293">
        <f t="shared" si="96"/>
        <v>0</v>
      </c>
      <c r="G74" s="298">
        <f t="shared" si="97"/>
        <v>150000</v>
      </c>
      <c r="H74" s="299">
        <f t="shared" si="98"/>
        <v>150000</v>
      </c>
      <c r="I74" s="262">
        <f t="shared" si="151"/>
        <v>0</v>
      </c>
      <c r="J74" s="298">
        <f t="shared" si="99"/>
        <v>2250000</v>
      </c>
      <c r="K74" s="299">
        <f t="shared" si="100"/>
        <v>2250000</v>
      </c>
      <c r="L74" s="262">
        <f t="shared" si="152"/>
        <v>0</v>
      </c>
      <c r="M74" s="298">
        <f t="shared" si="101"/>
        <v>0</v>
      </c>
      <c r="N74" s="299">
        <f t="shared" si="102"/>
        <v>0</v>
      </c>
      <c r="O74" s="262">
        <f t="shared" si="153"/>
        <v>0</v>
      </c>
      <c r="P74" s="298">
        <f t="shared" si="103"/>
        <v>0</v>
      </c>
      <c r="Q74" s="299">
        <f t="shared" si="104"/>
        <v>0</v>
      </c>
      <c r="R74" s="262">
        <f t="shared" si="105"/>
        <v>0</v>
      </c>
      <c r="S74" s="298">
        <f t="shared" si="106"/>
        <v>0</v>
      </c>
      <c r="T74" s="299">
        <f t="shared" si="107"/>
        <v>0</v>
      </c>
      <c r="U74" s="262">
        <f t="shared" si="108"/>
        <v>0</v>
      </c>
      <c r="V74" s="298">
        <f t="shared" si="109"/>
        <v>0</v>
      </c>
      <c r="W74" s="299">
        <f t="shared" si="110"/>
        <v>0</v>
      </c>
      <c r="X74" s="262">
        <f t="shared" si="111"/>
        <v>0</v>
      </c>
      <c r="Y74" s="298">
        <f t="shared" si="112"/>
        <v>0</v>
      </c>
      <c r="Z74" s="299">
        <f t="shared" si="113"/>
        <v>0</v>
      </c>
      <c r="AA74" s="262">
        <f t="shared" si="154"/>
        <v>0</v>
      </c>
      <c r="AB74" s="298">
        <f t="shared" si="114"/>
        <v>0</v>
      </c>
      <c r="AC74" s="299">
        <f t="shared" si="115"/>
        <v>0</v>
      </c>
      <c r="AD74" s="262">
        <f t="shared" si="155"/>
        <v>0</v>
      </c>
      <c r="AE74" s="298">
        <f t="shared" si="116"/>
        <v>0</v>
      </c>
      <c r="AF74" s="299">
        <f t="shared" si="117"/>
        <v>0</v>
      </c>
      <c r="AG74" s="262">
        <f t="shared" si="118"/>
        <v>0</v>
      </c>
      <c r="AH74" s="298">
        <f t="shared" si="119"/>
        <v>0</v>
      </c>
      <c r="AI74" s="299">
        <f t="shared" si="120"/>
        <v>0</v>
      </c>
      <c r="AJ74" s="262">
        <f t="shared" si="121"/>
        <v>0</v>
      </c>
      <c r="AK74" s="298">
        <f t="shared" si="122"/>
        <v>0</v>
      </c>
      <c r="AL74" s="299">
        <f t="shared" si="123"/>
        <v>0</v>
      </c>
      <c r="AM74" s="262">
        <f t="shared" si="124"/>
        <v>0</v>
      </c>
      <c r="AN74" s="298">
        <f t="shared" si="125"/>
        <v>0</v>
      </c>
      <c r="AO74" s="299">
        <f t="shared" si="126"/>
        <v>0</v>
      </c>
      <c r="AP74" s="262">
        <f t="shared" si="156"/>
        <v>0</v>
      </c>
      <c r="AQ74" s="298">
        <f t="shared" si="127"/>
        <v>0</v>
      </c>
      <c r="AR74" s="299">
        <f t="shared" si="128"/>
        <v>0</v>
      </c>
      <c r="AS74" s="262">
        <f t="shared" si="157"/>
        <v>0</v>
      </c>
      <c r="AT74" s="298">
        <f t="shared" si="129"/>
        <v>0</v>
      </c>
      <c r="AU74" s="299">
        <f t="shared" si="130"/>
        <v>0</v>
      </c>
      <c r="AV74" s="262">
        <f t="shared" si="131"/>
        <v>0</v>
      </c>
      <c r="AW74" s="298">
        <f t="shared" si="132"/>
        <v>0</v>
      </c>
      <c r="AX74" s="299">
        <f t="shared" si="133"/>
        <v>0</v>
      </c>
      <c r="AY74" s="262">
        <f t="shared" si="134"/>
        <v>0</v>
      </c>
      <c r="AZ74" s="298">
        <f t="shared" si="135"/>
        <v>0</v>
      </c>
      <c r="BA74" s="299">
        <f t="shared" si="136"/>
        <v>0</v>
      </c>
      <c r="BB74" s="262">
        <f t="shared" si="137"/>
        <v>0</v>
      </c>
      <c r="BC74" s="298">
        <f t="shared" si="138"/>
        <v>0</v>
      </c>
      <c r="BD74" s="299">
        <f t="shared" si="139"/>
        <v>0</v>
      </c>
      <c r="BE74" s="262">
        <f t="shared" si="158"/>
        <v>0</v>
      </c>
      <c r="BF74" s="298">
        <f t="shared" si="140"/>
        <v>0</v>
      </c>
      <c r="BG74" s="299">
        <f t="shared" si="141"/>
        <v>0</v>
      </c>
      <c r="BH74" s="262">
        <f t="shared" si="159"/>
        <v>0</v>
      </c>
      <c r="BI74" s="298">
        <f t="shared" si="142"/>
        <v>0</v>
      </c>
      <c r="BJ74" s="299">
        <f t="shared" si="143"/>
        <v>0</v>
      </c>
      <c r="BK74" s="262">
        <f t="shared" si="144"/>
        <v>0</v>
      </c>
      <c r="BL74" s="298">
        <f t="shared" si="145"/>
        <v>0</v>
      </c>
      <c r="BM74" s="299">
        <f t="shared" si="146"/>
        <v>0</v>
      </c>
      <c r="BN74" s="262">
        <f t="shared" si="147"/>
        <v>0</v>
      </c>
      <c r="BO74" s="298">
        <f t="shared" si="148"/>
        <v>0</v>
      </c>
      <c r="BP74" s="299">
        <f t="shared" si="149"/>
        <v>0</v>
      </c>
      <c r="BQ74" s="262">
        <f t="shared" si="150"/>
        <v>0</v>
      </c>
    </row>
    <row r="75" spans="1:70" ht="15.75" thickBot="1">
      <c r="A75" s="788"/>
      <c r="B75" s="790"/>
      <c r="C75" s="300" t="s">
        <v>34</v>
      </c>
      <c r="D75" s="301">
        <f t="shared" si="94"/>
        <v>2400000</v>
      </c>
      <c r="E75" s="302">
        <f t="shared" si="95"/>
        <v>2400000</v>
      </c>
      <c r="F75" s="303">
        <f t="shared" si="96"/>
        <v>0</v>
      </c>
      <c r="G75" s="304">
        <f t="shared" si="97"/>
        <v>150000</v>
      </c>
      <c r="H75" s="305">
        <f t="shared" si="98"/>
        <v>150000</v>
      </c>
      <c r="I75" s="267">
        <f t="shared" si="151"/>
        <v>0</v>
      </c>
      <c r="J75" s="304">
        <f t="shared" si="99"/>
        <v>2250000</v>
      </c>
      <c r="K75" s="305">
        <f t="shared" si="100"/>
        <v>2250000</v>
      </c>
      <c r="L75" s="267">
        <f t="shared" si="152"/>
        <v>0</v>
      </c>
      <c r="M75" s="304">
        <f t="shared" si="101"/>
        <v>0</v>
      </c>
      <c r="N75" s="305">
        <f t="shared" si="102"/>
        <v>0</v>
      </c>
      <c r="O75" s="267">
        <f t="shared" si="153"/>
        <v>0</v>
      </c>
      <c r="P75" s="304">
        <f t="shared" si="103"/>
        <v>0</v>
      </c>
      <c r="Q75" s="305">
        <f t="shared" si="104"/>
        <v>0</v>
      </c>
      <c r="R75" s="267">
        <f t="shared" si="105"/>
        <v>0</v>
      </c>
      <c r="S75" s="304">
        <f t="shared" si="106"/>
        <v>0</v>
      </c>
      <c r="T75" s="305">
        <f t="shared" si="107"/>
        <v>0</v>
      </c>
      <c r="U75" s="267">
        <f t="shared" si="108"/>
        <v>0</v>
      </c>
      <c r="V75" s="304">
        <f t="shared" si="109"/>
        <v>0</v>
      </c>
      <c r="W75" s="305">
        <f t="shared" si="110"/>
        <v>0</v>
      </c>
      <c r="X75" s="267">
        <f t="shared" si="111"/>
        <v>0</v>
      </c>
      <c r="Y75" s="304">
        <f t="shared" si="112"/>
        <v>0</v>
      </c>
      <c r="Z75" s="305">
        <f t="shared" si="113"/>
        <v>0</v>
      </c>
      <c r="AA75" s="267">
        <f t="shared" si="154"/>
        <v>0</v>
      </c>
      <c r="AB75" s="304">
        <f t="shared" si="114"/>
        <v>0</v>
      </c>
      <c r="AC75" s="305">
        <f t="shared" si="115"/>
        <v>0</v>
      </c>
      <c r="AD75" s="267">
        <f t="shared" si="155"/>
        <v>0</v>
      </c>
      <c r="AE75" s="304">
        <f t="shared" si="116"/>
        <v>0</v>
      </c>
      <c r="AF75" s="305">
        <f t="shared" si="117"/>
        <v>0</v>
      </c>
      <c r="AG75" s="267">
        <f t="shared" si="118"/>
        <v>0</v>
      </c>
      <c r="AH75" s="304">
        <f t="shared" si="119"/>
        <v>0</v>
      </c>
      <c r="AI75" s="305">
        <f t="shared" si="120"/>
        <v>0</v>
      </c>
      <c r="AJ75" s="267">
        <f t="shared" si="121"/>
        <v>0</v>
      </c>
      <c r="AK75" s="304">
        <f t="shared" si="122"/>
        <v>0</v>
      </c>
      <c r="AL75" s="305">
        <f t="shared" si="123"/>
        <v>0</v>
      </c>
      <c r="AM75" s="267">
        <f t="shared" si="124"/>
        <v>0</v>
      </c>
      <c r="AN75" s="304">
        <f t="shared" si="125"/>
        <v>0</v>
      </c>
      <c r="AO75" s="305">
        <f t="shared" si="126"/>
        <v>0</v>
      </c>
      <c r="AP75" s="267">
        <f t="shared" si="156"/>
        <v>0</v>
      </c>
      <c r="AQ75" s="304">
        <f t="shared" si="127"/>
        <v>0</v>
      </c>
      <c r="AR75" s="305">
        <f t="shared" si="128"/>
        <v>0</v>
      </c>
      <c r="AS75" s="267">
        <f t="shared" si="157"/>
        <v>0</v>
      </c>
      <c r="AT75" s="304">
        <f t="shared" si="129"/>
        <v>0</v>
      </c>
      <c r="AU75" s="305">
        <f t="shared" si="130"/>
        <v>0</v>
      </c>
      <c r="AV75" s="267">
        <f t="shared" si="131"/>
        <v>0</v>
      </c>
      <c r="AW75" s="304">
        <f t="shared" si="132"/>
        <v>0</v>
      </c>
      <c r="AX75" s="305">
        <f t="shared" si="133"/>
        <v>0</v>
      </c>
      <c r="AY75" s="267">
        <f t="shared" si="134"/>
        <v>0</v>
      </c>
      <c r="AZ75" s="304">
        <f t="shared" si="135"/>
        <v>0</v>
      </c>
      <c r="BA75" s="305">
        <f t="shared" si="136"/>
        <v>0</v>
      </c>
      <c r="BB75" s="267">
        <f t="shared" si="137"/>
        <v>0</v>
      </c>
      <c r="BC75" s="304">
        <f t="shared" si="138"/>
        <v>0</v>
      </c>
      <c r="BD75" s="305">
        <f t="shared" si="139"/>
        <v>0</v>
      </c>
      <c r="BE75" s="267">
        <f t="shared" si="158"/>
        <v>0</v>
      </c>
      <c r="BF75" s="304">
        <f t="shared" si="140"/>
        <v>0</v>
      </c>
      <c r="BG75" s="305">
        <f t="shared" si="141"/>
        <v>0</v>
      </c>
      <c r="BH75" s="267">
        <f t="shared" si="159"/>
        <v>0</v>
      </c>
      <c r="BI75" s="304">
        <f t="shared" si="142"/>
        <v>0</v>
      </c>
      <c r="BJ75" s="305">
        <f t="shared" si="143"/>
        <v>0</v>
      </c>
      <c r="BK75" s="267">
        <f t="shared" si="144"/>
        <v>0</v>
      </c>
      <c r="BL75" s="304">
        <f t="shared" si="145"/>
        <v>0</v>
      </c>
      <c r="BM75" s="305">
        <f t="shared" si="146"/>
        <v>0</v>
      </c>
      <c r="BN75" s="267">
        <f t="shared" si="147"/>
        <v>0</v>
      </c>
      <c r="BO75" s="304">
        <f t="shared" si="148"/>
        <v>0</v>
      </c>
      <c r="BP75" s="305">
        <f t="shared" si="149"/>
        <v>0</v>
      </c>
      <c r="BQ75" s="267">
        <f t="shared" si="150"/>
        <v>0</v>
      </c>
    </row>
    <row r="76" spans="1:70">
      <c r="A76" s="787" t="s">
        <v>147</v>
      </c>
      <c r="B76" s="789" t="s">
        <v>13</v>
      </c>
      <c r="C76" s="290" t="s">
        <v>25</v>
      </c>
      <c r="D76" s="291">
        <f t="shared" ref="D76:D95" si="160">SUM(G76,J76,M76,P76,S76,V76,Y76,AB76,AE76,AH76,AK76,AN76,AQ76,AT76,AW76,AZ76,AZ76,BC76,BF76,BI76,BL76,BO76)</f>
        <v>4872319.2860557763</v>
      </c>
      <c r="E76" s="292">
        <f t="shared" ref="E76:E135" si="161">SUM(H76,K76,N76,Q76,T76,W76,Z76,AC76,AF76,AI76,AL76,AO76,AR76,AU76,AX76,BA76,BA76,BD76,BG76,BJ76,BM76,BP76)</f>
        <v>2664549.609561753</v>
      </c>
      <c r="F76" s="293">
        <f t="shared" ref="F76:F105" si="162">SUM(I76,L76,O76,R76,U76,X76,AA76,AD76,AG76,AJ76,AM76,AP76,AS76,AV76,AY76,BB76,BB76,BE76,BH76,BK76,BN76,BQ76)</f>
        <v>-2207769.6764940233</v>
      </c>
      <c r="G76" s="306">
        <f>G5*G35*Faktory!$D$8</f>
        <v>304519.95537848608</v>
      </c>
      <c r="H76" s="307">
        <f>((H66*G35)-(H66*((G35-H35)*(1+$BR$35))))*Faktory!$D$8</f>
        <v>152259.97768924304</v>
      </c>
      <c r="I76" s="257">
        <f>H76-G76</f>
        <v>-152259.97768924304</v>
      </c>
      <c r="J76" s="306">
        <f>J5*J35*Faktory!$D$8</f>
        <v>4567799.3306772904</v>
      </c>
      <c r="K76" s="307">
        <f>((K66*J35)-(K66*((J35-K35)*(1+$BR$35))))*Faktory!$D$8</f>
        <v>2512289.6318725101</v>
      </c>
      <c r="L76" s="257">
        <f>K76-J76</f>
        <v>-2055509.6988047804</v>
      </c>
      <c r="M76" s="306">
        <f>M5*M35*Faktory!$D$8</f>
        <v>0</v>
      </c>
      <c r="N76" s="307">
        <f>((N66*M35)-(N66*((M35-N35)*(1+$BR$35))))*Faktory!$D$8</f>
        <v>0</v>
      </c>
      <c r="O76" s="257">
        <f>N76-M76</f>
        <v>0</v>
      </c>
      <c r="P76" s="306">
        <f>P5*P35*Faktory!$D$8</f>
        <v>0</v>
      </c>
      <c r="Q76" s="307">
        <f>((Q66*P35)-(Q66*((P35-Q35)*(1+$BR$35))))*Faktory!$D$8</f>
        <v>0</v>
      </c>
      <c r="R76" s="257">
        <f>Q76-P76</f>
        <v>0</v>
      </c>
      <c r="S76" s="306">
        <f>S5*S35*Faktory!$D$8</f>
        <v>0</v>
      </c>
      <c r="T76" s="307">
        <f>((T66*S35)-(T66*((S35-T35)*(1+$BR$35))))*Faktory!$D$8</f>
        <v>0</v>
      </c>
      <c r="U76" s="257">
        <f>T76-S76</f>
        <v>0</v>
      </c>
      <c r="V76" s="306">
        <f>V5*V35*Faktory!$D$8</f>
        <v>0</v>
      </c>
      <c r="W76" s="307">
        <f>((W66*V35)-(W66*((V35-W35)*(1+$BR$35))))*Faktory!$D$8</f>
        <v>0</v>
      </c>
      <c r="X76" s="257">
        <f>W76-V76</f>
        <v>0</v>
      </c>
      <c r="Y76" s="306">
        <f>Y5*Y35*Faktory!$D$8</f>
        <v>0</v>
      </c>
      <c r="Z76" s="307">
        <f>((Z66*Y35)-(Z66*((Y35-Z35)*(1+$BR$35))))*Faktory!$D$8</f>
        <v>0</v>
      </c>
      <c r="AA76" s="257">
        <f>Z76-Y76</f>
        <v>0</v>
      </c>
      <c r="AB76" s="306">
        <f>AB5*AB35*Faktory!$D$8</f>
        <v>0</v>
      </c>
      <c r="AC76" s="307">
        <f>((AC66*AB35)-(AC66*((AB35-AC35)*(1+$BR$35))))*Faktory!$D$8</f>
        <v>0</v>
      </c>
      <c r="AD76" s="257">
        <f>AC76-AB76</f>
        <v>0</v>
      </c>
      <c r="AE76" s="306">
        <f>AE5*AE35*Faktory!$D$8</f>
        <v>0</v>
      </c>
      <c r="AF76" s="307">
        <f>((AF66*AE35)-(AF66*((AE35-AF35)*(1+$BR$35))))*Faktory!$D$8</f>
        <v>0</v>
      </c>
      <c r="AG76" s="257">
        <f>AF76-AE76</f>
        <v>0</v>
      </c>
      <c r="AH76" s="306">
        <f>AH5*AH35*Faktory!$D$8</f>
        <v>0</v>
      </c>
      <c r="AI76" s="307">
        <f>((AI66*AH35)-(AI66*((AH35-AI35)*(1+$BR$35))))*Faktory!$D$8</f>
        <v>0</v>
      </c>
      <c r="AJ76" s="257">
        <f>AI76-AH76</f>
        <v>0</v>
      </c>
      <c r="AK76" s="306">
        <f>AK5*AK35*Faktory!$D$8</f>
        <v>0</v>
      </c>
      <c r="AL76" s="307">
        <f>((AL66*AK35)-(AL66*((AK35-AL35)*(1+$BR$35))))*Faktory!$D$8</f>
        <v>0</v>
      </c>
      <c r="AM76" s="257">
        <f>AL76-AK76</f>
        <v>0</v>
      </c>
      <c r="AN76" s="306">
        <f>AN5*AN35*Faktory!$D$8</f>
        <v>0</v>
      </c>
      <c r="AO76" s="307">
        <f>((AO66*AN35)-(AO66*((AN35-AO35)*(1+$BR$35))))*Faktory!$D$8</f>
        <v>0</v>
      </c>
      <c r="AP76" s="257">
        <f>AO76-AN76</f>
        <v>0</v>
      </c>
      <c r="AQ76" s="306">
        <f>AQ5*AQ35*Faktory!$D$8</f>
        <v>0</v>
      </c>
      <c r="AR76" s="307">
        <f>((AR66*AQ35)-(AR66*((AQ35-AR35)*(1+$BR$35))))*Faktory!$D$8</f>
        <v>0</v>
      </c>
      <c r="AS76" s="257">
        <f>AR76-AQ76</f>
        <v>0</v>
      </c>
      <c r="AT76" s="306">
        <f>AT5*AT35*Faktory!$D$8</f>
        <v>0</v>
      </c>
      <c r="AU76" s="307">
        <f>((AU66*AT35)-(AU66*((AT35-AU35)*(1+$BR$35))))*Faktory!$D$8</f>
        <v>0</v>
      </c>
      <c r="AV76" s="257">
        <f>AU76-AT76</f>
        <v>0</v>
      </c>
      <c r="AW76" s="306">
        <f>AW5*AW35*Faktory!$D$8</f>
        <v>0</v>
      </c>
      <c r="AX76" s="307">
        <f>((AX66*AW35)-(AX66*((AW35-AX35)*(1+$BR$35))))*Faktory!$D$8</f>
        <v>0</v>
      </c>
      <c r="AY76" s="257">
        <f>AX76-AW76</f>
        <v>0</v>
      </c>
      <c r="AZ76" s="306">
        <f>AZ5*AZ35*Faktory!$D$8</f>
        <v>0</v>
      </c>
      <c r="BA76" s="307">
        <f>((BA66*AZ35)-(BA66*((AZ35-BA35)*(1+$BR$35))))*Faktory!$D$8</f>
        <v>0</v>
      </c>
      <c r="BB76" s="257">
        <f>BA76-AZ76</f>
        <v>0</v>
      </c>
      <c r="BC76" s="306">
        <f>BC5*BC35*Faktory!$D$8</f>
        <v>0</v>
      </c>
      <c r="BD76" s="307">
        <f>((BD66*BC35)-(BD66*((BC35-BD35)*(1+$BR$35))))*Faktory!$D$8</f>
        <v>0</v>
      </c>
      <c r="BE76" s="257">
        <f>BD76-BC76</f>
        <v>0</v>
      </c>
      <c r="BF76" s="306">
        <f>BF5*BF35*Faktory!$D$8</f>
        <v>0</v>
      </c>
      <c r="BG76" s="307">
        <f>((BG66*BF35)-(BG66*((BF35-BG35)*(1+$BR$35))))*Faktory!$D$8</f>
        <v>0</v>
      </c>
      <c r="BH76" s="257">
        <f>BG76-BF76</f>
        <v>0</v>
      </c>
      <c r="BI76" s="306">
        <f>BI5*BI35*Faktory!$D$8</f>
        <v>0</v>
      </c>
      <c r="BJ76" s="307">
        <f>((BJ66*BI35)-(BJ66*((BI35-BJ35)*(1+$BR$35))))*Faktory!$D$8</f>
        <v>0</v>
      </c>
      <c r="BK76" s="257">
        <f>BJ76-BI76</f>
        <v>0</v>
      </c>
      <c r="BL76" s="306">
        <f>BL5*BL35*Faktory!$D$8</f>
        <v>0</v>
      </c>
      <c r="BM76" s="307">
        <f>((BM66*BL35)-(BM66*((BL35-BM35)*(1+$BR$35))))*Faktory!$D$8</f>
        <v>0</v>
      </c>
      <c r="BN76" s="257">
        <f>BM76-BL76</f>
        <v>0</v>
      </c>
      <c r="BO76" s="306">
        <f>BO5*BO35*Faktory!$D$8</f>
        <v>0</v>
      </c>
      <c r="BP76" s="307">
        <f>((BP66*BO35)-(BP66*((BO35-BP35)*(1+$BR$35))))*Faktory!$D$8</f>
        <v>0</v>
      </c>
      <c r="BQ76" s="257">
        <f>BP76-BO76</f>
        <v>0</v>
      </c>
    </row>
    <row r="77" spans="1:70">
      <c r="A77" s="787"/>
      <c r="B77" s="789"/>
      <c r="C77" s="290" t="s">
        <v>26</v>
      </c>
      <c r="D77" s="291">
        <f t="shared" si="160"/>
        <v>8120532.1434262954</v>
      </c>
      <c r="E77" s="292">
        <f t="shared" si="161"/>
        <v>4440916.0159362545</v>
      </c>
      <c r="F77" s="293">
        <f t="shared" si="162"/>
        <v>-3679616.1274900408</v>
      </c>
      <c r="G77" s="298">
        <f>G6*G36*Faktory!$D$8</f>
        <v>507533.2589641434</v>
      </c>
      <c r="H77" s="299">
        <f>((H67*G36)-(H67*((G36-H36)*(1+$BR$35))))*Faktory!$D$8</f>
        <v>253766.6294820717</v>
      </c>
      <c r="I77" s="262">
        <f t="shared" ref="I77:I95" si="163">H77-G77</f>
        <v>-253766.6294820717</v>
      </c>
      <c r="J77" s="298">
        <f>J6*J36*Faktory!$D$8</f>
        <v>7612998.8844621517</v>
      </c>
      <c r="K77" s="299">
        <f>((K67*J36)-(K67*((J36-K36)*(1+$BR$35))))*Faktory!$D$8</f>
        <v>4187149.3864541827</v>
      </c>
      <c r="L77" s="262">
        <f t="shared" ref="L77:L95" si="164">K77-J77</f>
        <v>-3425849.498007969</v>
      </c>
      <c r="M77" s="298">
        <f>M6*M36*Faktory!$D$8</f>
        <v>0</v>
      </c>
      <c r="N77" s="299">
        <f>((N67*M36)-(N67*((M36-N36)*(1+$BR$35))))*Faktory!$D$8</f>
        <v>0</v>
      </c>
      <c r="O77" s="262">
        <f t="shared" ref="O77:O95" si="165">N77-M77</f>
        <v>0</v>
      </c>
      <c r="P77" s="298">
        <f>P6*P36*Faktory!$D$8</f>
        <v>0</v>
      </c>
      <c r="Q77" s="299">
        <f>((Q67*P36)-(Q67*((P36-Q36)*(1+$BR$35))))*Faktory!$D$8</f>
        <v>0</v>
      </c>
      <c r="R77" s="262">
        <f t="shared" ref="R77:R95" si="166">Q77-P77</f>
        <v>0</v>
      </c>
      <c r="S77" s="298">
        <f>S6*S36*Faktory!$D$8</f>
        <v>0</v>
      </c>
      <c r="T77" s="299">
        <f>((T67*S36)-(T67*((S36-T36)*(1+$BR$35))))*Faktory!$D$8</f>
        <v>0</v>
      </c>
      <c r="U77" s="262">
        <f t="shared" ref="U77:U95" si="167">T77-S77</f>
        <v>0</v>
      </c>
      <c r="V77" s="298">
        <f>V6*V36*Faktory!$D$8</f>
        <v>0</v>
      </c>
      <c r="W77" s="299">
        <f>((W67*V36)-(W67*((V36-W36)*(1+$BR$35))))*Faktory!$D$8</f>
        <v>0</v>
      </c>
      <c r="X77" s="262">
        <f t="shared" ref="X77:X95" si="168">W77-V77</f>
        <v>0</v>
      </c>
      <c r="Y77" s="298">
        <f>Y6*Y36*Faktory!$D$8</f>
        <v>0</v>
      </c>
      <c r="Z77" s="299">
        <f>((Z67*Y36)-(Z67*((Y36-Z36)*(1+$BR$35))))*Faktory!$D$8</f>
        <v>0</v>
      </c>
      <c r="AA77" s="262">
        <f t="shared" ref="AA77:AA95" si="169">Z77-Y77</f>
        <v>0</v>
      </c>
      <c r="AB77" s="298">
        <f>AB6*AB36*Faktory!$D$8</f>
        <v>0</v>
      </c>
      <c r="AC77" s="299">
        <f>((AC67*AB36)-(AC67*((AB36-AC36)*(1+$BR$35))))*Faktory!$D$8</f>
        <v>0</v>
      </c>
      <c r="AD77" s="262">
        <f t="shared" ref="AD77:AD95" si="170">AC77-AB77</f>
        <v>0</v>
      </c>
      <c r="AE77" s="298">
        <f>AE6*AE36*Faktory!$D$8</f>
        <v>0</v>
      </c>
      <c r="AF77" s="299">
        <f>((AF67*AE36)-(AF67*((AE36-AF36)*(1+$BR$35))))*Faktory!$D$8</f>
        <v>0</v>
      </c>
      <c r="AG77" s="262">
        <f t="shared" ref="AG77:AG95" si="171">AF77-AE77</f>
        <v>0</v>
      </c>
      <c r="AH77" s="298">
        <f>AH6*AH36*Faktory!$D$8</f>
        <v>0</v>
      </c>
      <c r="AI77" s="299">
        <f>((AI67*AH36)-(AI67*((AH36-AI36)*(1+$BR$35))))*Faktory!$D$8</f>
        <v>0</v>
      </c>
      <c r="AJ77" s="262">
        <f t="shared" ref="AJ77:AJ95" si="172">AI77-AH77</f>
        <v>0</v>
      </c>
      <c r="AK77" s="298">
        <f>AK6*AK36*Faktory!$D$8</f>
        <v>0</v>
      </c>
      <c r="AL77" s="299">
        <f>((AL67*AK36)-(AL67*((AK36-AL36)*(1+$BR$35))))*Faktory!$D$8</f>
        <v>0</v>
      </c>
      <c r="AM77" s="262">
        <f t="shared" ref="AM77:AM95" si="173">AL77-AK77</f>
        <v>0</v>
      </c>
      <c r="AN77" s="298">
        <f>AN6*AN36*Faktory!$D$8</f>
        <v>0</v>
      </c>
      <c r="AO77" s="299">
        <f>((AO67*AN36)-(AO67*((AN36-AO36)*(1+$BR$35))))*Faktory!$D$8</f>
        <v>0</v>
      </c>
      <c r="AP77" s="262">
        <f t="shared" ref="AP77:AP95" si="174">AO77-AN77</f>
        <v>0</v>
      </c>
      <c r="AQ77" s="298">
        <f>AQ6*AQ36*Faktory!$D$8</f>
        <v>0</v>
      </c>
      <c r="AR77" s="299">
        <f>((AR67*AQ36)-(AR67*((AQ36-AR36)*(1+$BR$35))))*Faktory!$D$8</f>
        <v>0</v>
      </c>
      <c r="AS77" s="262">
        <f t="shared" ref="AS77:AS95" si="175">AR77-AQ77</f>
        <v>0</v>
      </c>
      <c r="AT77" s="298">
        <f>AT6*AT36*Faktory!$D$8</f>
        <v>0</v>
      </c>
      <c r="AU77" s="299">
        <f>((AU67*AT36)-(AU67*((AT36-AU36)*(1+$BR$35))))*Faktory!$D$8</f>
        <v>0</v>
      </c>
      <c r="AV77" s="262">
        <f t="shared" ref="AV77:AV95" si="176">AU77-AT77</f>
        <v>0</v>
      </c>
      <c r="AW77" s="298">
        <f>AW6*AW36*Faktory!$D$8</f>
        <v>0</v>
      </c>
      <c r="AX77" s="299">
        <f>((AX67*AW36)-(AX67*((AW36-AX36)*(1+$BR$35))))*Faktory!$D$8</f>
        <v>0</v>
      </c>
      <c r="AY77" s="262">
        <f t="shared" ref="AY77:AY95" si="177">AX77-AW77</f>
        <v>0</v>
      </c>
      <c r="AZ77" s="298">
        <f>AZ6*AZ36*Faktory!$D$8</f>
        <v>0</v>
      </c>
      <c r="BA77" s="299">
        <f>((BA67*AZ36)-(BA67*((AZ36-BA36)*(1+$BR$35))))*Faktory!$D$8</f>
        <v>0</v>
      </c>
      <c r="BB77" s="262">
        <f t="shared" ref="BB77:BB95" si="178">BA77-AZ77</f>
        <v>0</v>
      </c>
      <c r="BC77" s="298">
        <f>BC6*BC36*Faktory!$D$8</f>
        <v>0</v>
      </c>
      <c r="BD77" s="299">
        <f>((BD67*BC36)-(BD67*((BC36-BD36)*(1+$BR$35))))*Faktory!$D$8</f>
        <v>0</v>
      </c>
      <c r="BE77" s="262">
        <f t="shared" ref="BE77:BE95" si="179">BD77-BC77</f>
        <v>0</v>
      </c>
      <c r="BF77" s="298">
        <f>BF6*BF36*Faktory!$D$8</f>
        <v>0</v>
      </c>
      <c r="BG77" s="299">
        <f>((BG67*BF36)-(BG67*((BF36-BG36)*(1+$BR$35))))*Faktory!$D$8</f>
        <v>0</v>
      </c>
      <c r="BH77" s="262">
        <f t="shared" ref="BH77:BH95" si="180">BG77-BF77</f>
        <v>0</v>
      </c>
      <c r="BI77" s="298">
        <f>BI6*BI36*Faktory!$D$8</f>
        <v>0</v>
      </c>
      <c r="BJ77" s="299">
        <f>((BJ67*BI36)-(BJ67*((BI36-BJ36)*(1+$BR$35))))*Faktory!$D$8</f>
        <v>0</v>
      </c>
      <c r="BK77" s="262">
        <f t="shared" ref="BK77:BK95" si="181">BJ77-BI77</f>
        <v>0</v>
      </c>
      <c r="BL77" s="298">
        <f>BL6*BL36*Faktory!$D$8</f>
        <v>0</v>
      </c>
      <c r="BM77" s="299">
        <f>((BM67*BL36)-(BM67*((BL36-BM36)*(1+$BR$35))))*Faktory!$D$8</f>
        <v>0</v>
      </c>
      <c r="BN77" s="262">
        <f t="shared" ref="BN77:BN95" si="182">BM77-BL77</f>
        <v>0</v>
      </c>
      <c r="BO77" s="298">
        <f>BO6*BO36*Faktory!$D$8</f>
        <v>0</v>
      </c>
      <c r="BP77" s="299">
        <f>((BP67*BO36)-(BP67*((BO36-BP36)*(1+$BR$35))))*Faktory!$D$8</f>
        <v>0</v>
      </c>
      <c r="BQ77" s="262">
        <f t="shared" ref="BQ77:BQ95" si="183">BP77-BO77</f>
        <v>0</v>
      </c>
    </row>
    <row r="78" spans="1:70">
      <c r="A78" s="787"/>
      <c r="B78" s="789"/>
      <c r="C78" s="290" t="s">
        <v>27</v>
      </c>
      <c r="D78" s="291">
        <f t="shared" si="160"/>
        <v>8120532.1434262954</v>
      </c>
      <c r="E78" s="292">
        <f t="shared" si="161"/>
        <v>4440916.0159362545</v>
      </c>
      <c r="F78" s="293">
        <f t="shared" si="162"/>
        <v>-3679616.1274900408</v>
      </c>
      <c r="G78" s="298">
        <f>G7*G37*Faktory!$D$8</f>
        <v>507533.2589641434</v>
      </c>
      <c r="H78" s="299">
        <f>((H68*G37)-(H68*((G37-H37)*(1+$BR$35))))*Faktory!$D$8</f>
        <v>253766.6294820717</v>
      </c>
      <c r="I78" s="262">
        <f t="shared" si="163"/>
        <v>-253766.6294820717</v>
      </c>
      <c r="J78" s="298">
        <f>J7*J37*Faktory!$D$8</f>
        <v>7612998.8844621517</v>
      </c>
      <c r="K78" s="299">
        <f>((K68*J37)-(K68*((J37-K37)*(1+$BR$35))))*Faktory!$D$8</f>
        <v>4187149.3864541827</v>
      </c>
      <c r="L78" s="262">
        <f t="shared" si="164"/>
        <v>-3425849.498007969</v>
      </c>
      <c r="M78" s="298">
        <f>M7*M37*Faktory!$D$8</f>
        <v>0</v>
      </c>
      <c r="N78" s="299">
        <f>((N68*M37)-(N68*((M37-N37)*(1+$BR$35))))*Faktory!$D$8</f>
        <v>0</v>
      </c>
      <c r="O78" s="262">
        <f t="shared" si="165"/>
        <v>0</v>
      </c>
      <c r="P78" s="298">
        <f>P7*P37*Faktory!$D$8</f>
        <v>0</v>
      </c>
      <c r="Q78" s="299">
        <f>((Q68*P37)-(Q68*((P37-Q37)*(1+$BR$35))))*Faktory!$D$8</f>
        <v>0</v>
      </c>
      <c r="R78" s="262">
        <f t="shared" si="166"/>
        <v>0</v>
      </c>
      <c r="S78" s="298">
        <f>S7*S37*Faktory!$D$8</f>
        <v>0</v>
      </c>
      <c r="T78" s="299">
        <f>((T68*S37)-(T68*((S37-T37)*(1+$BR$35))))*Faktory!$D$8</f>
        <v>0</v>
      </c>
      <c r="U78" s="262">
        <f t="shared" si="167"/>
        <v>0</v>
      </c>
      <c r="V78" s="298">
        <f>V7*V37*Faktory!$D$8</f>
        <v>0</v>
      </c>
      <c r="W78" s="299">
        <f>((W68*V37)-(W68*((V37-W37)*(1+$BR$35))))*Faktory!$D$8</f>
        <v>0</v>
      </c>
      <c r="X78" s="262">
        <f t="shared" si="168"/>
        <v>0</v>
      </c>
      <c r="Y78" s="298">
        <f>Y7*Y37*Faktory!$D$8</f>
        <v>0</v>
      </c>
      <c r="Z78" s="299">
        <f>((Z68*Y37)-(Z68*((Y37-Z37)*(1+$BR$35))))*Faktory!$D$8</f>
        <v>0</v>
      </c>
      <c r="AA78" s="262">
        <f t="shared" si="169"/>
        <v>0</v>
      </c>
      <c r="AB78" s="298">
        <f>AB7*AB37*Faktory!$D$8</f>
        <v>0</v>
      </c>
      <c r="AC78" s="299">
        <f>((AC68*AB37)-(AC68*((AB37-AC37)*(1+$BR$35))))*Faktory!$D$8</f>
        <v>0</v>
      </c>
      <c r="AD78" s="262">
        <f t="shared" si="170"/>
        <v>0</v>
      </c>
      <c r="AE78" s="298">
        <f>AE7*AE37*Faktory!$D$8</f>
        <v>0</v>
      </c>
      <c r="AF78" s="299">
        <f>((AF68*AE37)-(AF68*((AE37-AF37)*(1+$BR$35))))*Faktory!$D$8</f>
        <v>0</v>
      </c>
      <c r="AG78" s="262">
        <f t="shared" si="171"/>
        <v>0</v>
      </c>
      <c r="AH78" s="298">
        <f>AH7*AH37*Faktory!$D$8</f>
        <v>0</v>
      </c>
      <c r="AI78" s="299">
        <f>((AI68*AH37)-(AI68*((AH37-AI37)*(1+$BR$35))))*Faktory!$D$8</f>
        <v>0</v>
      </c>
      <c r="AJ78" s="262">
        <f t="shared" si="172"/>
        <v>0</v>
      </c>
      <c r="AK78" s="298">
        <f>AK7*AK37*Faktory!$D$8</f>
        <v>0</v>
      </c>
      <c r="AL78" s="299">
        <f>((AL68*AK37)-(AL68*((AK37-AL37)*(1+$BR$35))))*Faktory!$D$8</f>
        <v>0</v>
      </c>
      <c r="AM78" s="262">
        <f t="shared" si="173"/>
        <v>0</v>
      </c>
      <c r="AN78" s="298">
        <f>AN7*AN37*Faktory!$D$8</f>
        <v>0</v>
      </c>
      <c r="AO78" s="299">
        <f>((AO68*AN37)-(AO68*((AN37-AO37)*(1+$BR$35))))*Faktory!$D$8</f>
        <v>0</v>
      </c>
      <c r="AP78" s="262">
        <f t="shared" si="174"/>
        <v>0</v>
      </c>
      <c r="AQ78" s="298">
        <f>AQ7*AQ37*Faktory!$D$8</f>
        <v>0</v>
      </c>
      <c r="AR78" s="299">
        <f>((AR68*AQ37)-(AR68*((AQ37-AR37)*(1+$BR$35))))*Faktory!$D$8</f>
        <v>0</v>
      </c>
      <c r="AS78" s="262">
        <f t="shared" si="175"/>
        <v>0</v>
      </c>
      <c r="AT78" s="298">
        <f>AT7*AT37*Faktory!$D$8</f>
        <v>0</v>
      </c>
      <c r="AU78" s="299">
        <f>((AU68*AT37)-(AU68*((AT37-AU37)*(1+$BR$35))))*Faktory!$D$8</f>
        <v>0</v>
      </c>
      <c r="AV78" s="262">
        <f t="shared" si="176"/>
        <v>0</v>
      </c>
      <c r="AW78" s="298">
        <f>AW7*AW37*Faktory!$D$8</f>
        <v>0</v>
      </c>
      <c r="AX78" s="299">
        <f>((AX68*AW37)-(AX68*((AW37-AX37)*(1+$BR$35))))*Faktory!$D$8</f>
        <v>0</v>
      </c>
      <c r="AY78" s="262">
        <f t="shared" si="177"/>
        <v>0</v>
      </c>
      <c r="AZ78" s="298">
        <f>AZ7*AZ37*Faktory!$D$8</f>
        <v>0</v>
      </c>
      <c r="BA78" s="299">
        <f>((BA68*AZ37)-(BA68*((AZ37-BA37)*(1+$BR$35))))*Faktory!$D$8</f>
        <v>0</v>
      </c>
      <c r="BB78" s="262">
        <f t="shared" si="178"/>
        <v>0</v>
      </c>
      <c r="BC78" s="298">
        <f>BC7*BC37*Faktory!$D$8</f>
        <v>0</v>
      </c>
      <c r="BD78" s="299">
        <f>((BD68*BC37)-(BD68*((BC37-BD37)*(1+$BR$35))))*Faktory!$D$8</f>
        <v>0</v>
      </c>
      <c r="BE78" s="262">
        <f t="shared" si="179"/>
        <v>0</v>
      </c>
      <c r="BF78" s="298">
        <f>BF7*BF37*Faktory!$D$8</f>
        <v>0</v>
      </c>
      <c r="BG78" s="299">
        <f>((BG68*BF37)-(BG68*((BF37-BG37)*(1+$BR$35))))*Faktory!$D$8</f>
        <v>0</v>
      </c>
      <c r="BH78" s="262">
        <f t="shared" si="180"/>
        <v>0</v>
      </c>
      <c r="BI78" s="298">
        <f>BI7*BI37*Faktory!$D$8</f>
        <v>0</v>
      </c>
      <c r="BJ78" s="299">
        <f>((BJ68*BI37)-(BJ68*((BI37-BJ37)*(1+$BR$35))))*Faktory!$D$8</f>
        <v>0</v>
      </c>
      <c r="BK78" s="262">
        <f t="shared" si="181"/>
        <v>0</v>
      </c>
      <c r="BL78" s="298">
        <f>BL7*BL37*Faktory!$D$8</f>
        <v>0</v>
      </c>
      <c r="BM78" s="299">
        <f>((BM68*BL37)-(BM68*((BL37-BM37)*(1+$BR$35))))*Faktory!$D$8</f>
        <v>0</v>
      </c>
      <c r="BN78" s="262">
        <f t="shared" si="182"/>
        <v>0</v>
      </c>
      <c r="BO78" s="298">
        <f>BO7*BO37*Faktory!$D$8</f>
        <v>0</v>
      </c>
      <c r="BP78" s="299">
        <f>((BP68*BO37)-(BP68*((BO37-BP37)*(1+$BR$35))))*Faktory!$D$8</f>
        <v>0</v>
      </c>
      <c r="BQ78" s="262">
        <f t="shared" si="183"/>
        <v>0</v>
      </c>
    </row>
    <row r="79" spans="1:70">
      <c r="A79" s="787"/>
      <c r="B79" s="789"/>
      <c r="C79" s="290" t="s">
        <v>28</v>
      </c>
      <c r="D79" s="291">
        <f t="shared" si="160"/>
        <v>8120532.1434262954</v>
      </c>
      <c r="E79" s="292">
        <f t="shared" si="161"/>
        <v>4440916.0159362545</v>
      </c>
      <c r="F79" s="293">
        <f t="shared" si="162"/>
        <v>-3679616.1274900408</v>
      </c>
      <c r="G79" s="298">
        <f>G8*G38*Faktory!$D$8</f>
        <v>507533.2589641434</v>
      </c>
      <c r="H79" s="299">
        <f>((H69*G38)-(H69*((G38-H38)*(1+$BR$35))))*Faktory!$D$8</f>
        <v>253766.6294820717</v>
      </c>
      <c r="I79" s="262">
        <f t="shared" si="163"/>
        <v>-253766.6294820717</v>
      </c>
      <c r="J79" s="298">
        <f>J8*J38*Faktory!$D$8</f>
        <v>7612998.8844621517</v>
      </c>
      <c r="K79" s="299">
        <f>((K69*J38)-(K69*((J38-K38)*(1+$BR$35))))*Faktory!$D$8</f>
        <v>4187149.3864541827</v>
      </c>
      <c r="L79" s="262">
        <f t="shared" si="164"/>
        <v>-3425849.498007969</v>
      </c>
      <c r="M79" s="298">
        <f>M8*M38*Faktory!$D$8</f>
        <v>0</v>
      </c>
      <c r="N79" s="299">
        <f>((N69*M38)-(N69*((M38-N38)*(1+$BR$35))))*Faktory!$D$8</f>
        <v>0</v>
      </c>
      <c r="O79" s="262">
        <f t="shared" si="165"/>
        <v>0</v>
      </c>
      <c r="P79" s="298">
        <f>P8*P38*Faktory!$D$8</f>
        <v>0</v>
      </c>
      <c r="Q79" s="299">
        <f>((Q69*P38)-(Q69*((P38-Q38)*(1+$BR$35))))*Faktory!$D$8</f>
        <v>0</v>
      </c>
      <c r="R79" s="262">
        <f t="shared" si="166"/>
        <v>0</v>
      </c>
      <c r="S79" s="298">
        <f>S8*S38*Faktory!$D$8</f>
        <v>0</v>
      </c>
      <c r="T79" s="299">
        <f>((T69*S38)-(T69*((S38-T38)*(1+$BR$35))))*Faktory!$D$8</f>
        <v>0</v>
      </c>
      <c r="U79" s="262">
        <f t="shared" si="167"/>
        <v>0</v>
      </c>
      <c r="V79" s="298">
        <f>V8*V38*Faktory!$D$8</f>
        <v>0</v>
      </c>
      <c r="W79" s="299">
        <f>((W69*V38)-(W69*((V38-W38)*(1+$BR$35))))*Faktory!$D$8</f>
        <v>0</v>
      </c>
      <c r="X79" s="262">
        <f t="shared" si="168"/>
        <v>0</v>
      </c>
      <c r="Y79" s="298">
        <f>Y8*Y38*Faktory!$D$8</f>
        <v>0</v>
      </c>
      <c r="Z79" s="299">
        <f>((Z69*Y38)-(Z69*((Y38-Z38)*(1+$BR$35))))*Faktory!$D$8</f>
        <v>0</v>
      </c>
      <c r="AA79" s="262">
        <f t="shared" si="169"/>
        <v>0</v>
      </c>
      <c r="AB79" s="298">
        <f>AB8*AB38*Faktory!$D$8</f>
        <v>0</v>
      </c>
      <c r="AC79" s="299">
        <f>((AC69*AB38)-(AC69*((AB38-AC38)*(1+$BR$35))))*Faktory!$D$8</f>
        <v>0</v>
      </c>
      <c r="AD79" s="262">
        <f t="shared" si="170"/>
        <v>0</v>
      </c>
      <c r="AE79" s="298">
        <f>AE8*AE38*Faktory!$D$8</f>
        <v>0</v>
      </c>
      <c r="AF79" s="299">
        <f>((AF69*AE38)-(AF69*((AE38-AF38)*(1+$BR$35))))*Faktory!$D$8</f>
        <v>0</v>
      </c>
      <c r="AG79" s="262">
        <f t="shared" si="171"/>
        <v>0</v>
      </c>
      <c r="AH79" s="298">
        <f>AH8*AH38*Faktory!$D$8</f>
        <v>0</v>
      </c>
      <c r="AI79" s="299">
        <f>((AI69*AH38)-(AI69*((AH38-AI38)*(1+$BR$35))))*Faktory!$D$8</f>
        <v>0</v>
      </c>
      <c r="AJ79" s="262">
        <f t="shared" si="172"/>
        <v>0</v>
      </c>
      <c r="AK79" s="298">
        <f>AK8*AK38*Faktory!$D$8</f>
        <v>0</v>
      </c>
      <c r="AL79" s="299">
        <f>((AL69*AK38)-(AL69*((AK38-AL38)*(1+$BR$35))))*Faktory!$D$8</f>
        <v>0</v>
      </c>
      <c r="AM79" s="262">
        <f t="shared" si="173"/>
        <v>0</v>
      </c>
      <c r="AN79" s="298">
        <f>AN8*AN38*Faktory!$D$8</f>
        <v>0</v>
      </c>
      <c r="AO79" s="299">
        <f>((AO69*AN38)-(AO69*((AN38-AO38)*(1+$BR$35))))*Faktory!$D$8</f>
        <v>0</v>
      </c>
      <c r="AP79" s="262">
        <f t="shared" si="174"/>
        <v>0</v>
      </c>
      <c r="AQ79" s="298">
        <f>AQ8*AQ38*Faktory!$D$8</f>
        <v>0</v>
      </c>
      <c r="AR79" s="299">
        <f>((AR69*AQ38)-(AR69*((AQ38-AR38)*(1+$BR$35))))*Faktory!$D$8</f>
        <v>0</v>
      </c>
      <c r="AS79" s="262">
        <f t="shared" si="175"/>
        <v>0</v>
      </c>
      <c r="AT79" s="298">
        <f>AT8*AT38*Faktory!$D$8</f>
        <v>0</v>
      </c>
      <c r="AU79" s="299">
        <f>((AU69*AT38)-(AU69*((AT38-AU38)*(1+$BR$35))))*Faktory!$D$8</f>
        <v>0</v>
      </c>
      <c r="AV79" s="262">
        <f t="shared" si="176"/>
        <v>0</v>
      </c>
      <c r="AW79" s="298">
        <f>AW8*AW38*Faktory!$D$8</f>
        <v>0</v>
      </c>
      <c r="AX79" s="299">
        <f>((AX69*AW38)-(AX69*((AW38-AX38)*(1+$BR$35))))*Faktory!$D$8</f>
        <v>0</v>
      </c>
      <c r="AY79" s="262">
        <f t="shared" si="177"/>
        <v>0</v>
      </c>
      <c r="AZ79" s="298">
        <f>AZ8*AZ38*Faktory!$D$8</f>
        <v>0</v>
      </c>
      <c r="BA79" s="299">
        <f>((BA69*AZ38)-(BA69*((AZ38-BA38)*(1+$BR$35))))*Faktory!$D$8</f>
        <v>0</v>
      </c>
      <c r="BB79" s="262">
        <f t="shared" si="178"/>
        <v>0</v>
      </c>
      <c r="BC79" s="298">
        <f>BC8*BC38*Faktory!$D$8</f>
        <v>0</v>
      </c>
      <c r="BD79" s="299">
        <f>((BD69*BC38)-(BD69*((BC38-BD38)*(1+$BR$35))))*Faktory!$D$8</f>
        <v>0</v>
      </c>
      <c r="BE79" s="262">
        <f t="shared" si="179"/>
        <v>0</v>
      </c>
      <c r="BF79" s="298">
        <f>BF8*BF38*Faktory!$D$8</f>
        <v>0</v>
      </c>
      <c r="BG79" s="299">
        <f>((BG69*BF38)-(BG69*((BF38-BG38)*(1+$BR$35))))*Faktory!$D$8</f>
        <v>0</v>
      </c>
      <c r="BH79" s="262">
        <f t="shared" si="180"/>
        <v>0</v>
      </c>
      <c r="BI79" s="298">
        <f>BI8*BI38*Faktory!$D$8</f>
        <v>0</v>
      </c>
      <c r="BJ79" s="299">
        <f>((BJ69*BI38)-(BJ69*((BI38-BJ38)*(1+$BR$35))))*Faktory!$D$8</f>
        <v>0</v>
      </c>
      <c r="BK79" s="262">
        <f t="shared" si="181"/>
        <v>0</v>
      </c>
      <c r="BL79" s="298">
        <f>BL8*BL38*Faktory!$D$8</f>
        <v>0</v>
      </c>
      <c r="BM79" s="299">
        <f>((BM69*BL38)-(BM69*((BL38-BM38)*(1+$BR$35))))*Faktory!$D$8</f>
        <v>0</v>
      </c>
      <c r="BN79" s="262">
        <f t="shared" si="182"/>
        <v>0</v>
      </c>
      <c r="BO79" s="298">
        <f>BO8*BO38*Faktory!$D$8</f>
        <v>0</v>
      </c>
      <c r="BP79" s="299">
        <f>((BP69*BO38)-(BP69*((BO38-BP38)*(1+$BR$35))))*Faktory!$D$8</f>
        <v>0</v>
      </c>
      <c r="BQ79" s="262">
        <f t="shared" si="183"/>
        <v>0</v>
      </c>
    </row>
    <row r="80" spans="1:70">
      <c r="A80" s="787"/>
      <c r="B80" s="789"/>
      <c r="C80" s="290" t="s">
        <v>29</v>
      </c>
      <c r="D80" s="291">
        <f t="shared" si="160"/>
        <v>8120532.1434262954</v>
      </c>
      <c r="E80" s="292">
        <f t="shared" si="161"/>
        <v>4440916.0159362545</v>
      </c>
      <c r="F80" s="293">
        <f t="shared" si="162"/>
        <v>-3679616.1274900408</v>
      </c>
      <c r="G80" s="298">
        <f>G9*G39*Faktory!$D$8</f>
        <v>507533.2589641434</v>
      </c>
      <c r="H80" s="299">
        <f>((H70*G39)-(H70*((G39-H39)*(1+$BR$35))))*Faktory!$D$8</f>
        <v>253766.6294820717</v>
      </c>
      <c r="I80" s="262">
        <f t="shared" si="163"/>
        <v>-253766.6294820717</v>
      </c>
      <c r="J80" s="298">
        <f>J9*J39*Faktory!$D$8</f>
        <v>7612998.8844621517</v>
      </c>
      <c r="K80" s="299">
        <f>((K70*J39)-(K70*((J39-K39)*(1+$BR$35))))*Faktory!$D$8</f>
        <v>4187149.3864541827</v>
      </c>
      <c r="L80" s="262">
        <f t="shared" si="164"/>
        <v>-3425849.498007969</v>
      </c>
      <c r="M80" s="298">
        <f>M9*M39*Faktory!$D$8</f>
        <v>0</v>
      </c>
      <c r="N80" s="299">
        <f>((N70*M39)-(N70*((M39-N39)*(1+$BR$35))))*Faktory!$D$8</f>
        <v>0</v>
      </c>
      <c r="O80" s="262">
        <f t="shared" si="165"/>
        <v>0</v>
      </c>
      <c r="P80" s="298">
        <f>P9*P39*Faktory!$D$8</f>
        <v>0</v>
      </c>
      <c r="Q80" s="299">
        <f>((Q70*P39)-(Q70*((P39-Q39)*(1+$BR$35))))*Faktory!$D$8</f>
        <v>0</v>
      </c>
      <c r="R80" s="262">
        <f t="shared" si="166"/>
        <v>0</v>
      </c>
      <c r="S80" s="298">
        <f>S9*S39*Faktory!$D$8</f>
        <v>0</v>
      </c>
      <c r="T80" s="299">
        <f>((T70*S39)-(T70*((S39-T39)*(1+$BR$35))))*Faktory!$D$8</f>
        <v>0</v>
      </c>
      <c r="U80" s="262">
        <f t="shared" si="167"/>
        <v>0</v>
      </c>
      <c r="V80" s="298">
        <f>V9*V39*Faktory!$D$8</f>
        <v>0</v>
      </c>
      <c r="W80" s="299">
        <f>((W70*V39)-(W70*((V39-W39)*(1+$BR$35))))*Faktory!$D$8</f>
        <v>0</v>
      </c>
      <c r="X80" s="262">
        <f t="shared" si="168"/>
        <v>0</v>
      </c>
      <c r="Y80" s="298">
        <f>Y9*Y39*Faktory!$D$8</f>
        <v>0</v>
      </c>
      <c r="Z80" s="299">
        <f>((Z70*Y39)-(Z70*((Y39-Z39)*(1+$BR$35))))*Faktory!$D$8</f>
        <v>0</v>
      </c>
      <c r="AA80" s="262">
        <f t="shared" si="169"/>
        <v>0</v>
      </c>
      <c r="AB80" s="298">
        <f>AB9*AB39*Faktory!$D$8</f>
        <v>0</v>
      </c>
      <c r="AC80" s="299">
        <f>((AC70*AB39)-(AC70*((AB39-AC39)*(1+$BR$35))))*Faktory!$D$8</f>
        <v>0</v>
      </c>
      <c r="AD80" s="262">
        <f t="shared" si="170"/>
        <v>0</v>
      </c>
      <c r="AE80" s="298">
        <f>AE9*AE39*Faktory!$D$8</f>
        <v>0</v>
      </c>
      <c r="AF80" s="299">
        <f>((AF70*AE39)-(AF70*((AE39-AF39)*(1+$BR$35))))*Faktory!$D$8</f>
        <v>0</v>
      </c>
      <c r="AG80" s="262">
        <f t="shared" si="171"/>
        <v>0</v>
      </c>
      <c r="AH80" s="298">
        <f>AH9*AH39*Faktory!$D$8</f>
        <v>0</v>
      </c>
      <c r="AI80" s="299">
        <f>((AI70*AH39)-(AI70*((AH39-AI39)*(1+$BR$35))))*Faktory!$D$8</f>
        <v>0</v>
      </c>
      <c r="AJ80" s="262">
        <f t="shared" si="172"/>
        <v>0</v>
      </c>
      <c r="AK80" s="298">
        <f>AK9*AK39*Faktory!$D$8</f>
        <v>0</v>
      </c>
      <c r="AL80" s="299">
        <f>((AL70*AK39)-(AL70*((AK39-AL39)*(1+$BR$35))))*Faktory!$D$8</f>
        <v>0</v>
      </c>
      <c r="AM80" s="262">
        <f t="shared" si="173"/>
        <v>0</v>
      </c>
      <c r="AN80" s="298">
        <f>AN9*AN39*Faktory!$D$8</f>
        <v>0</v>
      </c>
      <c r="AO80" s="299">
        <f>((AO70*AN39)-(AO70*((AN39-AO39)*(1+$BR$35))))*Faktory!$D$8</f>
        <v>0</v>
      </c>
      <c r="AP80" s="262">
        <f t="shared" si="174"/>
        <v>0</v>
      </c>
      <c r="AQ80" s="298">
        <f>AQ9*AQ39*Faktory!$D$8</f>
        <v>0</v>
      </c>
      <c r="AR80" s="299">
        <f>((AR70*AQ39)-(AR70*((AQ39-AR39)*(1+$BR$35))))*Faktory!$D$8</f>
        <v>0</v>
      </c>
      <c r="AS80" s="262">
        <f t="shared" si="175"/>
        <v>0</v>
      </c>
      <c r="AT80" s="298">
        <f>AT9*AT39*Faktory!$D$8</f>
        <v>0</v>
      </c>
      <c r="AU80" s="299">
        <f>((AU70*AT39)-(AU70*((AT39-AU39)*(1+$BR$35))))*Faktory!$D$8</f>
        <v>0</v>
      </c>
      <c r="AV80" s="262">
        <f t="shared" si="176"/>
        <v>0</v>
      </c>
      <c r="AW80" s="298">
        <f>AW9*AW39*Faktory!$D$8</f>
        <v>0</v>
      </c>
      <c r="AX80" s="299">
        <f>((AX70*AW39)-(AX70*((AW39-AX39)*(1+$BR$35))))*Faktory!$D$8</f>
        <v>0</v>
      </c>
      <c r="AY80" s="262">
        <f t="shared" si="177"/>
        <v>0</v>
      </c>
      <c r="AZ80" s="298">
        <f>AZ9*AZ39*Faktory!$D$8</f>
        <v>0</v>
      </c>
      <c r="BA80" s="299">
        <f>((BA70*AZ39)-(BA70*((AZ39-BA39)*(1+$BR$35))))*Faktory!$D$8</f>
        <v>0</v>
      </c>
      <c r="BB80" s="262">
        <f t="shared" si="178"/>
        <v>0</v>
      </c>
      <c r="BC80" s="298">
        <f>BC9*BC39*Faktory!$D$8</f>
        <v>0</v>
      </c>
      <c r="BD80" s="299">
        <f>((BD70*BC39)-(BD70*((BC39-BD39)*(1+$BR$35))))*Faktory!$D$8</f>
        <v>0</v>
      </c>
      <c r="BE80" s="262">
        <f t="shared" si="179"/>
        <v>0</v>
      </c>
      <c r="BF80" s="298">
        <f>BF9*BF39*Faktory!$D$8</f>
        <v>0</v>
      </c>
      <c r="BG80" s="299">
        <f>((BG70*BF39)-(BG70*((BF39-BG39)*(1+$BR$35))))*Faktory!$D$8</f>
        <v>0</v>
      </c>
      <c r="BH80" s="262">
        <f t="shared" si="180"/>
        <v>0</v>
      </c>
      <c r="BI80" s="298">
        <f>BI9*BI39*Faktory!$D$8</f>
        <v>0</v>
      </c>
      <c r="BJ80" s="299">
        <f>((BJ70*BI39)-(BJ70*((BI39-BJ39)*(1+$BR$35))))*Faktory!$D$8</f>
        <v>0</v>
      </c>
      <c r="BK80" s="262">
        <f t="shared" si="181"/>
        <v>0</v>
      </c>
      <c r="BL80" s="298">
        <f>BL9*BL39*Faktory!$D$8</f>
        <v>0</v>
      </c>
      <c r="BM80" s="299">
        <f>((BM70*BL39)-(BM70*((BL39-BM39)*(1+$BR$35))))*Faktory!$D$8</f>
        <v>0</v>
      </c>
      <c r="BN80" s="262">
        <f t="shared" si="182"/>
        <v>0</v>
      </c>
      <c r="BO80" s="298">
        <f>BO9*BO39*Faktory!$D$8</f>
        <v>0</v>
      </c>
      <c r="BP80" s="299">
        <f>((BP70*BO39)-(BP70*((BO39-BP39)*(1+$BR$35))))*Faktory!$D$8</f>
        <v>0</v>
      </c>
      <c r="BQ80" s="262">
        <f t="shared" si="183"/>
        <v>0</v>
      </c>
    </row>
    <row r="81" spans="1:69">
      <c r="A81" s="787"/>
      <c r="B81" s="789"/>
      <c r="C81" s="290" t="s">
        <v>30</v>
      </c>
      <c r="D81" s="291">
        <f t="shared" si="160"/>
        <v>8120532.1434262954</v>
      </c>
      <c r="E81" s="292">
        <f t="shared" si="161"/>
        <v>4440916.0159362545</v>
      </c>
      <c r="F81" s="293">
        <f t="shared" si="162"/>
        <v>-3679616.1274900408</v>
      </c>
      <c r="G81" s="298">
        <f>G10*G40*Faktory!$D$8</f>
        <v>507533.2589641434</v>
      </c>
      <c r="H81" s="299">
        <f>((H71*G40)-(H71*((G40-H40)*(1+$BR$35))))*Faktory!$D$8</f>
        <v>253766.6294820717</v>
      </c>
      <c r="I81" s="262">
        <f t="shared" si="163"/>
        <v>-253766.6294820717</v>
      </c>
      <c r="J81" s="298">
        <f>J10*J40*Faktory!$D$8</f>
        <v>7612998.8844621517</v>
      </c>
      <c r="K81" s="299">
        <f>((K71*J40)-(K71*((J40-K40)*(1+$BR$35))))*Faktory!$D$8</f>
        <v>4187149.3864541827</v>
      </c>
      <c r="L81" s="262">
        <f t="shared" si="164"/>
        <v>-3425849.498007969</v>
      </c>
      <c r="M81" s="298">
        <f>M10*M40*Faktory!$D$8</f>
        <v>0</v>
      </c>
      <c r="N81" s="299">
        <f>((N71*M40)-(N71*((M40-N40)*(1+$BR$35))))*Faktory!$D$8</f>
        <v>0</v>
      </c>
      <c r="O81" s="262">
        <f t="shared" si="165"/>
        <v>0</v>
      </c>
      <c r="P81" s="298">
        <f>P10*P40*Faktory!$D$8</f>
        <v>0</v>
      </c>
      <c r="Q81" s="299">
        <f>((Q71*P40)-(Q71*((P40-Q40)*(1+$BR$35))))*Faktory!$D$8</f>
        <v>0</v>
      </c>
      <c r="R81" s="262">
        <f t="shared" si="166"/>
        <v>0</v>
      </c>
      <c r="S81" s="298">
        <f>S10*S40*Faktory!$D$8</f>
        <v>0</v>
      </c>
      <c r="T81" s="299">
        <f>((T71*S40)-(T71*((S40-T40)*(1+$BR$35))))*Faktory!$D$8</f>
        <v>0</v>
      </c>
      <c r="U81" s="262">
        <f t="shared" si="167"/>
        <v>0</v>
      </c>
      <c r="V81" s="298">
        <f>V10*V40*Faktory!$D$8</f>
        <v>0</v>
      </c>
      <c r="W81" s="299">
        <f>((W71*V40)-(W71*((V40-W40)*(1+$BR$35))))*Faktory!$D$8</f>
        <v>0</v>
      </c>
      <c r="X81" s="262">
        <f t="shared" si="168"/>
        <v>0</v>
      </c>
      <c r="Y81" s="298">
        <f>Y10*Y40*Faktory!$D$8</f>
        <v>0</v>
      </c>
      <c r="Z81" s="299">
        <f>((Z71*Y40)-(Z71*((Y40-Z40)*(1+$BR$35))))*Faktory!$D$8</f>
        <v>0</v>
      </c>
      <c r="AA81" s="262">
        <f t="shared" si="169"/>
        <v>0</v>
      </c>
      <c r="AB81" s="298">
        <f>AB10*AB40*Faktory!$D$8</f>
        <v>0</v>
      </c>
      <c r="AC81" s="299">
        <f>((AC71*AB40)-(AC71*((AB40-AC40)*(1+$BR$35))))*Faktory!$D$8</f>
        <v>0</v>
      </c>
      <c r="AD81" s="262">
        <f t="shared" si="170"/>
        <v>0</v>
      </c>
      <c r="AE81" s="298">
        <f>AE10*AE40*Faktory!$D$8</f>
        <v>0</v>
      </c>
      <c r="AF81" s="299">
        <f>((AF71*AE40)-(AF71*((AE40-AF40)*(1+$BR$35))))*Faktory!$D$8</f>
        <v>0</v>
      </c>
      <c r="AG81" s="262">
        <f t="shared" si="171"/>
        <v>0</v>
      </c>
      <c r="AH81" s="298">
        <f>AH10*AH40*Faktory!$D$8</f>
        <v>0</v>
      </c>
      <c r="AI81" s="299">
        <f>((AI71*AH40)-(AI71*((AH40-AI40)*(1+$BR$35))))*Faktory!$D$8</f>
        <v>0</v>
      </c>
      <c r="AJ81" s="262">
        <f t="shared" si="172"/>
        <v>0</v>
      </c>
      <c r="AK81" s="298">
        <f>AK10*AK40*Faktory!$D$8</f>
        <v>0</v>
      </c>
      <c r="AL81" s="299">
        <f>((AL71*AK40)-(AL71*((AK40-AL40)*(1+$BR$35))))*Faktory!$D$8</f>
        <v>0</v>
      </c>
      <c r="AM81" s="262">
        <f t="shared" si="173"/>
        <v>0</v>
      </c>
      <c r="AN81" s="298">
        <f>AN10*AN40*Faktory!$D$8</f>
        <v>0</v>
      </c>
      <c r="AO81" s="299">
        <f>((AO71*AN40)-(AO71*((AN40-AO40)*(1+$BR$35))))*Faktory!$D$8</f>
        <v>0</v>
      </c>
      <c r="AP81" s="262">
        <f t="shared" si="174"/>
        <v>0</v>
      </c>
      <c r="AQ81" s="298">
        <f>AQ10*AQ40*Faktory!$D$8</f>
        <v>0</v>
      </c>
      <c r="AR81" s="299">
        <f>((AR71*AQ40)-(AR71*((AQ40-AR40)*(1+$BR$35))))*Faktory!$D$8</f>
        <v>0</v>
      </c>
      <c r="AS81" s="262">
        <f t="shared" si="175"/>
        <v>0</v>
      </c>
      <c r="AT81" s="298">
        <f>AT10*AT40*Faktory!$D$8</f>
        <v>0</v>
      </c>
      <c r="AU81" s="299">
        <f>((AU71*AT40)-(AU71*((AT40-AU40)*(1+$BR$35))))*Faktory!$D$8</f>
        <v>0</v>
      </c>
      <c r="AV81" s="262">
        <f t="shared" si="176"/>
        <v>0</v>
      </c>
      <c r="AW81" s="298">
        <f>AW10*AW40*Faktory!$D$8</f>
        <v>0</v>
      </c>
      <c r="AX81" s="299">
        <f>((AX71*AW40)-(AX71*((AW40-AX40)*(1+$BR$35))))*Faktory!$D$8</f>
        <v>0</v>
      </c>
      <c r="AY81" s="262">
        <f t="shared" si="177"/>
        <v>0</v>
      </c>
      <c r="AZ81" s="298">
        <f>AZ10*AZ40*Faktory!$D$8</f>
        <v>0</v>
      </c>
      <c r="BA81" s="299">
        <f>((BA71*AZ40)-(BA71*((AZ40-BA40)*(1+$BR$35))))*Faktory!$D$8</f>
        <v>0</v>
      </c>
      <c r="BB81" s="262">
        <f t="shared" si="178"/>
        <v>0</v>
      </c>
      <c r="BC81" s="298">
        <f>BC10*BC40*Faktory!$D$8</f>
        <v>0</v>
      </c>
      <c r="BD81" s="299">
        <f>((BD71*BC40)-(BD71*((BC40-BD40)*(1+$BR$35))))*Faktory!$D$8</f>
        <v>0</v>
      </c>
      <c r="BE81" s="262">
        <f t="shared" si="179"/>
        <v>0</v>
      </c>
      <c r="BF81" s="298">
        <f>BF10*BF40*Faktory!$D$8</f>
        <v>0</v>
      </c>
      <c r="BG81" s="299">
        <f>((BG71*BF40)-(BG71*((BF40-BG40)*(1+$BR$35))))*Faktory!$D$8</f>
        <v>0</v>
      </c>
      <c r="BH81" s="262">
        <f t="shared" si="180"/>
        <v>0</v>
      </c>
      <c r="BI81" s="298">
        <f>BI10*BI40*Faktory!$D$8</f>
        <v>0</v>
      </c>
      <c r="BJ81" s="299">
        <f>((BJ71*BI40)-(BJ71*((BI40-BJ40)*(1+$BR$35))))*Faktory!$D$8</f>
        <v>0</v>
      </c>
      <c r="BK81" s="262">
        <f t="shared" si="181"/>
        <v>0</v>
      </c>
      <c r="BL81" s="298">
        <f>BL10*BL40*Faktory!$D$8</f>
        <v>0</v>
      </c>
      <c r="BM81" s="299">
        <f>((BM71*BL40)-(BM71*((BL40-BM40)*(1+$BR$35))))*Faktory!$D$8</f>
        <v>0</v>
      </c>
      <c r="BN81" s="262">
        <f t="shared" si="182"/>
        <v>0</v>
      </c>
      <c r="BO81" s="298">
        <f>BO10*BO40*Faktory!$D$8</f>
        <v>0</v>
      </c>
      <c r="BP81" s="299">
        <f>((BP71*BO40)-(BP71*((BO40-BP40)*(1+$BR$35))))*Faktory!$D$8</f>
        <v>0</v>
      </c>
      <c r="BQ81" s="262">
        <f t="shared" si="183"/>
        <v>0</v>
      </c>
    </row>
    <row r="82" spans="1:69">
      <c r="A82" s="787"/>
      <c r="B82" s="789"/>
      <c r="C82" s="290" t="s">
        <v>31</v>
      </c>
      <c r="D82" s="291">
        <f t="shared" si="160"/>
        <v>8120532.1434262954</v>
      </c>
      <c r="E82" s="292">
        <f t="shared" si="161"/>
        <v>4440916.0159362545</v>
      </c>
      <c r="F82" s="293">
        <f t="shared" si="162"/>
        <v>-3679616.1274900408</v>
      </c>
      <c r="G82" s="298">
        <f>G11*G41*Faktory!$D$8</f>
        <v>507533.2589641434</v>
      </c>
      <c r="H82" s="299">
        <f>((H72*G41)-(H72*((G41-H41)*(1+$BR$35))))*Faktory!$D$8</f>
        <v>253766.6294820717</v>
      </c>
      <c r="I82" s="262">
        <f t="shared" si="163"/>
        <v>-253766.6294820717</v>
      </c>
      <c r="J82" s="298">
        <f>J11*J41*Faktory!$D$8</f>
        <v>7612998.8844621517</v>
      </c>
      <c r="K82" s="299">
        <f>((K72*J41)-(K72*((J41-K41)*(1+$BR$35))))*Faktory!$D$8</f>
        <v>4187149.3864541827</v>
      </c>
      <c r="L82" s="262">
        <f t="shared" si="164"/>
        <v>-3425849.498007969</v>
      </c>
      <c r="M82" s="298">
        <f>M11*M41*Faktory!$D$8</f>
        <v>0</v>
      </c>
      <c r="N82" s="299">
        <f>((N72*M41)-(N72*((M41-N41)*(1+$BR$35))))*Faktory!$D$8</f>
        <v>0</v>
      </c>
      <c r="O82" s="262">
        <f t="shared" si="165"/>
        <v>0</v>
      </c>
      <c r="P82" s="298">
        <f>P11*P41*Faktory!$D$8</f>
        <v>0</v>
      </c>
      <c r="Q82" s="299">
        <f>((Q72*P41)-(Q72*((P41-Q41)*(1+$BR$35))))*Faktory!$D$8</f>
        <v>0</v>
      </c>
      <c r="R82" s="262">
        <f t="shared" si="166"/>
        <v>0</v>
      </c>
      <c r="S82" s="298">
        <f>S11*S41*Faktory!$D$8</f>
        <v>0</v>
      </c>
      <c r="T82" s="299">
        <f>((T72*S41)-(T72*((S41-T41)*(1+$BR$35))))*Faktory!$D$8</f>
        <v>0</v>
      </c>
      <c r="U82" s="262">
        <f t="shared" si="167"/>
        <v>0</v>
      </c>
      <c r="V82" s="298">
        <f>V11*V41*Faktory!$D$8</f>
        <v>0</v>
      </c>
      <c r="W82" s="299">
        <f>((W72*V41)-(W72*((V41-W41)*(1+$BR$35))))*Faktory!$D$8</f>
        <v>0</v>
      </c>
      <c r="X82" s="262">
        <f t="shared" si="168"/>
        <v>0</v>
      </c>
      <c r="Y82" s="298">
        <f>Y11*Y41*Faktory!$D$8</f>
        <v>0</v>
      </c>
      <c r="Z82" s="299">
        <f>((Z72*Y41)-(Z72*((Y41-Z41)*(1+$BR$35))))*Faktory!$D$8</f>
        <v>0</v>
      </c>
      <c r="AA82" s="262">
        <f t="shared" si="169"/>
        <v>0</v>
      </c>
      <c r="AB82" s="298">
        <f>AB11*AB41*Faktory!$D$8</f>
        <v>0</v>
      </c>
      <c r="AC82" s="299">
        <f>((AC72*AB41)-(AC72*((AB41-AC41)*(1+$BR$35))))*Faktory!$D$8</f>
        <v>0</v>
      </c>
      <c r="AD82" s="262">
        <f t="shared" si="170"/>
        <v>0</v>
      </c>
      <c r="AE82" s="298">
        <f>AE11*AE41*Faktory!$D$8</f>
        <v>0</v>
      </c>
      <c r="AF82" s="299">
        <f>((AF72*AE41)-(AF72*((AE41-AF41)*(1+$BR$35))))*Faktory!$D$8</f>
        <v>0</v>
      </c>
      <c r="AG82" s="262">
        <f t="shared" si="171"/>
        <v>0</v>
      </c>
      <c r="AH82" s="298">
        <f>AH11*AH41*Faktory!$D$8</f>
        <v>0</v>
      </c>
      <c r="AI82" s="299">
        <f>((AI72*AH41)-(AI72*((AH41-AI41)*(1+$BR$35))))*Faktory!$D$8</f>
        <v>0</v>
      </c>
      <c r="AJ82" s="262">
        <f t="shared" si="172"/>
        <v>0</v>
      </c>
      <c r="AK82" s="298">
        <f>AK11*AK41*Faktory!$D$8</f>
        <v>0</v>
      </c>
      <c r="AL82" s="299">
        <f>((AL72*AK41)-(AL72*((AK41-AL41)*(1+$BR$35))))*Faktory!$D$8</f>
        <v>0</v>
      </c>
      <c r="AM82" s="262">
        <f t="shared" si="173"/>
        <v>0</v>
      </c>
      <c r="AN82" s="298">
        <f>AN11*AN41*Faktory!$D$8</f>
        <v>0</v>
      </c>
      <c r="AO82" s="299">
        <f>((AO72*AN41)-(AO72*((AN41-AO41)*(1+$BR$35))))*Faktory!$D$8</f>
        <v>0</v>
      </c>
      <c r="AP82" s="262">
        <f t="shared" si="174"/>
        <v>0</v>
      </c>
      <c r="AQ82" s="298">
        <f>AQ11*AQ41*Faktory!$D$8</f>
        <v>0</v>
      </c>
      <c r="AR82" s="299">
        <f>((AR72*AQ41)-(AR72*((AQ41-AR41)*(1+$BR$35))))*Faktory!$D$8</f>
        <v>0</v>
      </c>
      <c r="AS82" s="262">
        <f t="shared" si="175"/>
        <v>0</v>
      </c>
      <c r="AT82" s="298">
        <f>AT11*AT41*Faktory!$D$8</f>
        <v>0</v>
      </c>
      <c r="AU82" s="299">
        <f>((AU72*AT41)-(AU72*((AT41-AU41)*(1+$BR$35))))*Faktory!$D$8</f>
        <v>0</v>
      </c>
      <c r="AV82" s="262">
        <f t="shared" si="176"/>
        <v>0</v>
      </c>
      <c r="AW82" s="298">
        <f>AW11*AW41*Faktory!$D$8</f>
        <v>0</v>
      </c>
      <c r="AX82" s="299">
        <f>((AX72*AW41)-(AX72*((AW41-AX41)*(1+$BR$35))))*Faktory!$D$8</f>
        <v>0</v>
      </c>
      <c r="AY82" s="262">
        <f t="shared" si="177"/>
        <v>0</v>
      </c>
      <c r="AZ82" s="298">
        <f>AZ11*AZ41*Faktory!$D$8</f>
        <v>0</v>
      </c>
      <c r="BA82" s="299">
        <f>((BA72*AZ41)-(BA72*((AZ41-BA41)*(1+$BR$35))))*Faktory!$D$8</f>
        <v>0</v>
      </c>
      <c r="BB82" s="262">
        <f t="shared" si="178"/>
        <v>0</v>
      </c>
      <c r="BC82" s="298">
        <f>BC11*BC41*Faktory!$D$8</f>
        <v>0</v>
      </c>
      <c r="BD82" s="299">
        <f>((BD72*BC41)-(BD72*((BC41-BD41)*(1+$BR$35))))*Faktory!$D$8</f>
        <v>0</v>
      </c>
      <c r="BE82" s="262">
        <f t="shared" si="179"/>
        <v>0</v>
      </c>
      <c r="BF82" s="298">
        <f>BF11*BF41*Faktory!$D$8</f>
        <v>0</v>
      </c>
      <c r="BG82" s="299">
        <f>((BG72*BF41)-(BG72*((BF41-BG41)*(1+$BR$35))))*Faktory!$D$8</f>
        <v>0</v>
      </c>
      <c r="BH82" s="262">
        <f t="shared" si="180"/>
        <v>0</v>
      </c>
      <c r="BI82" s="298">
        <f>BI11*BI41*Faktory!$D$8</f>
        <v>0</v>
      </c>
      <c r="BJ82" s="299">
        <f>((BJ72*BI41)-(BJ72*((BI41-BJ41)*(1+$BR$35))))*Faktory!$D$8</f>
        <v>0</v>
      </c>
      <c r="BK82" s="262">
        <f t="shared" si="181"/>
        <v>0</v>
      </c>
      <c r="BL82" s="298">
        <f>BL11*BL41*Faktory!$D$8</f>
        <v>0</v>
      </c>
      <c r="BM82" s="299">
        <f>((BM72*BL41)-(BM72*((BL41-BM41)*(1+$BR$35))))*Faktory!$D$8</f>
        <v>0</v>
      </c>
      <c r="BN82" s="262">
        <f t="shared" si="182"/>
        <v>0</v>
      </c>
      <c r="BO82" s="298">
        <f>BO11*BO41*Faktory!$D$8</f>
        <v>0</v>
      </c>
      <c r="BP82" s="299">
        <f>((BP72*BO41)-(BP72*((BO41-BP41)*(1+$BR$35))))*Faktory!$D$8</f>
        <v>0</v>
      </c>
      <c r="BQ82" s="262">
        <f t="shared" si="183"/>
        <v>0</v>
      </c>
    </row>
    <row r="83" spans="1:69">
      <c r="A83" s="787"/>
      <c r="B83" s="789"/>
      <c r="C83" s="290" t="s">
        <v>32</v>
      </c>
      <c r="D83" s="291">
        <f t="shared" si="160"/>
        <v>8120532.1434262954</v>
      </c>
      <c r="E83" s="292">
        <f t="shared" si="161"/>
        <v>4440916.0159362545</v>
      </c>
      <c r="F83" s="293">
        <f t="shared" si="162"/>
        <v>-3679616.1274900408</v>
      </c>
      <c r="G83" s="298">
        <f>G12*G42*Faktory!$D$8</f>
        <v>507533.2589641434</v>
      </c>
      <c r="H83" s="299">
        <f>((H73*G42)-(H73*((G42-H42)*(1+$BR$35))))*Faktory!$D$8</f>
        <v>253766.6294820717</v>
      </c>
      <c r="I83" s="262">
        <f t="shared" si="163"/>
        <v>-253766.6294820717</v>
      </c>
      <c r="J83" s="298">
        <f>J12*J42*Faktory!$D$8</f>
        <v>7612998.8844621517</v>
      </c>
      <c r="K83" s="299">
        <f>((K73*J42)-(K73*((J42-K42)*(1+$BR$35))))*Faktory!$D$8</f>
        <v>4187149.3864541827</v>
      </c>
      <c r="L83" s="262">
        <f t="shared" si="164"/>
        <v>-3425849.498007969</v>
      </c>
      <c r="M83" s="298">
        <f>M12*M42*Faktory!$D$8</f>
        <v>0</v>
      </c>
      <c r="N83" s="299">
        <f>((N73*M42)-(N73*((M42-N42)*(1+$BR$35))))*Faktory!$D$8</f>
        <v>0</v>
      </c>
      <c r="O83" s="262">
        <f t="shared" si="165"/>
        <v>0</v>
      </c>
      <c r="P83" s="298">
        <f>P12*P42*Faktory!$D$8</f>
        <v>0</v>
      </c>
      <c r="Q83" s="299">
        <f>((Q73*P42)-(Q73*((P42-Q42)*(1+$BR$35))))*Faktory!$D$8</f>
        <v>0</v>
      </c>
      <c r="R83" s="262">
        <f t="shared" si="166"/>
        <v>0</v>
      </c>
      <c r="S83" s="298">
        <f>S12*S42*Faktory!$D$8</f>
        <v>0</v>
      </c>
      <c r="T83" s="299">
        <f>((T73*S42)-(T73*((S42-T42)*(1+$BR$35))))*Faktory!$D$8</f>
        <v>0</v>
      </c>
      <c r="U83" s="262">
        <f t="shared" si="167"/>
        <v>0</v>
      </c>
      <c r="V83" s="298">
        <f>V12*V42*Faktory!$D$8</f>
        <v>0</v>
      </c>
      <c r="W83" s="299">
        <f>((W73*V42)-(W73*((V42-W42)*(1+$BR$35))))*Faktory!$D$8</f>
        <v>0</v>
      </c>
      <c r="X83" s="262">
        <f t="shared" si="168"/>
        <v>0</v>
      </c>
      <c r="Y83" s="298">
        <f>Y12*Y42*Faktory!$D$8</f>
        <v>0</v>
      </c>
      <c r="Z83" s="299">
        <f>((Z73*Y42)-(Z73*((Y42-Z42)*(1+$BR$35))))*Faktory!$D$8</f>
        <v>0</v>
      </c>
      <c r="AA83" s="262">
        <f t="shared" si="169"/>
        <v>0</v>
      </c>
      <c r="AB83" s="298">
        <f>AB12*AB42*Faktory!$D$8</f>
        <v>0</v>
      </c>
      <c r="AC83" s="299">
        <f>((AC73*AB42)-(AC73*((AB42-AC42)*(1+$BR$35))))*Faktory!$D$8</f>
        <v>0</v>
      </c>
      <c r="AD83" s="262">
        <f t="shared" si="170"/>
        <v>0</v>
      </c>
      <c r="AE83" s="298">
        <f>AE12*AE42*Faktory!$D$8</f>
        <v>0</v>
      </c>
      <c r="AF83" s="299">
        <f>((AF73*AE42)-(AF73*((AE42-AF42)*(1+$BR$35))))*Faktory!$D$8</f>
        <v>0</v>
      </c>
      <c r="AG83" s="262">
        <f t="shared" si="171"/>
        <v>0</v>
      </c>
      <c r="AH83" s="298">
        <f>AH12*AH42*Faktory!$D$8</f>
        <v>0</v>
      </c>
      <c r="AI83" s="299">
        <f>((AI73*AH42)-(AI73*((AH42-AI42)*(1+$BR$35))))*Faktory!$D$8</f>
        <v>0</v>
      </c>
      <c r="AJ83" s="262">
        <f t="shared" si="172"/>
        <v>0</v>
      </c>
      <c r="AK83" s="298">
        <f>AK12*AK42*Faktory!$D$8</f>
        <v>0</v>
      </c>
      <c r="AL83" s="299">
        <f>((AL73*AK42)-(AL73*((AK42-AL42)*(1+$BR$35))))*Faktory!$D$8</f>
        <v>0</v>
      </c>
      <c r="AM83" s="262">
        <f t="shared" si="173"/>
        <v>0</v>
      </c>
      <c r="AN83" s="298">
        <f>AN12*AN42*Faktory!$D$8</f>
        <v>0</v>
      </c>
      <c r="AO83" s="299">
        <f>((AO73*AN42)-(AO73*((AN42-AO42)*(1+$BR$35))))*Faktory!$D$8</f>
        <v>0</v>
      </c>
      <c r="AP83" s="262">
        <f t="shared" si="174"/>
        <v>0</v>
      </c>
      <c r="AQ83" s="298">
        <f>AQ12*AQ42*Faktory!$D$8</f>
        <v>0</v>
      </c>
      <c r="AR83" s="299">
        <f>((AR73*AQ42)-(AR73*((AQ42-AR42)*(1+$BR$35))))*Faktory!$D$8</f>
        <v>0</v>
      </c>
      <c r="AS83" s="262">
        <f t="shared" si="175"/>
        <v>0</v>
      </c>
      <c r="AT83" s="298">
        <f>AT12*AT42*Faktory!$D$8</f>
        <v>0</v>
      </c>
      <c r="AU83" s="299">
        <f>((AU73*AT42)-(AU73*((AT42-AU42)*(1+$BR$35))))*Faktory!$D$8</f>
        <v>0</v>
      </c>
      <c r="AV83" s="262">
        <f t="shared" si="176"/>
        <v>0</v>
      </c>
      <c r="AW83" s="298">
        <f>AW12*AW42*Faktory!$D$8</f>
        <v>0</v>
      </c>
      <c r="AX83" s="299">
        <f>((AX73*AW42)-(AX73*((AW42-AX42)*(1+$BR$35))))*Faktory!$D$8</f>
        <v>0</v>
      </c>
      <c r="AY83" s="262">
        <f t="shared" si="177"/>
        <v>0</v>
      </c>
      <c r="AZ83" s="298">
        <f>AZ12*AZ42*Faktory!$D$8</f>
        <v>0</v>
      </c>
      <c r="BA83" s="299">
        <f>((BA73*AZ42)-(BA73*((AZ42-BA42)*(1+$BR$35))))*Faktory!$D$8</f>
        <v>0</v>
      </c>
      <c r="BB83" s="262">
        <f t="shared" si="178"/>
        <v>0</v>
      </c>
      <c r="BC83" s="298">
        <f>BC12*BC42*Faktory!$D$8</f>
        <v>0</v>
      </c>
      <c r="BD83" s="299">
        <f>((BD73*BC42)-(BD73*((BC42-BD42)*(1+$BR$35))))*Faktory!$D$8</f>
        <v>0</v>
      </c>
      <c r="BE83" s="262">
        <f t="shared" si="179"/>
        <v>0</v>
      </c>
      <c r="BF83" s="298">
        <f>BF12*BF42*Faktory!$D$8</f>
        <v>0</v>
      </c>
      <c r="BG83" s="299">
        <f>((BG73*BF42)-(BG73*((BF42-BG42)*(1+$BR$35))))*Faktory!$D$8</f>
        <v>0</v>
      </c>
      <c r="BH83" s="262">
        <f t="shared" si="180"/>
        <v>0</v>
      </c>
      <c r="BI83" s="298">
        <f>BI12*BI42*Faktory!$D$8</f>
        <v>0</v>
      </c>
      <c r="BJ83" s="299">
        <f>((BJ73*BI42)-(BJ73*((BI42-BJ42)*(1+$BR$35))))*Faktory!$D$8</f>
        <v>0</v>
      </c>
      <c r="BK83" s="262">
        <f t="shared" si="181"/>
        <v>0</v>
      </c>
      <c r="BL83" s="298">
        <f>BL12*BL42*Faktory!$D$8</f>
        <v>0</v>
      </c>
      <c r="BM83" s="299">
        <f>((BM73*BL42)-(BM73*((BL42-BM42)*(1+$BR$35))))*Faktory!$D$8</f>
        <v>0</v>
      </c>
      <c r="BN83" s="262">
        <f t="shared" si="182"/>
        <v>0</v>
      </c>
      <c r="BO83" s="298">
        <f>BO12*BO42*Faktory!$D$8</f>
        <v>0</v>
      </c>
      <c r="BP83" s="299">
        <f>((BP73*BO42)-(BP73*((BO42-BP42)*(1+$BR$35))))*Faktory!$D$8</f>
        <v>0</v>
      </c>
      <c r="BQ83" s="262">
        <f t="shared" si="183"/>
        <v>0</v>
      </c>
    </row>
    <row r="84" spans="1:69">
      <c r="A84" s="787"/>
      <c r="B84" s="789"/>
      <c r="C84" s="290" t="s">
        <v>33</v>
      </c>
      <c r="D84" s="291">
        <f t="shared" si="160"/>
        <v>8120532.1434262954</v>
      </c>
      <c r="E84" s="292">
        <f t="shared" si="161"/>
        <v>4440916.0159362545</v>
      </c>
      <c r="F84" s="293">
        <f t="shared" si="162"/>
        <v>-3679616.1274900408</v>
      </c>
      <c r="G84" s="298">
        <f>G13*G43*Faktory!$D$8</f>
        <v>507533.2589641434</v>
      </c>
      <c r="H84" s="299">
        <f>((H74*G43)-(H74*((G43-H43)*(1+$BR$35))))*Faktory!$D$8</f>
        <v>253766.6294820717</v>
      </c>
      <c r="I84" s="262">
        <f t="shared" si="163"/>
        <v>-253766.6294820717</v>
      </c>
      <c r="J84" s="298">
        <f>J13*J43*Faktory!$D$8</f>
        <v>7612998.8844621517</v>
      </c>
      <c r="K84" s="299">
        <f>((K74*J43)-(K74*((J43-K43)*(1+$BR$35))))*Faktory!$D$8</f>
        <v>4187149.3864541827</v>
      </c>
      <c r="L84" s="262">
        <f t="shared" si="164"/>
        <v>-3425849.498007969</v>
      </c>
      <c r="M84" s="298">
        <f>M13*M43*Faktory!$D$8</f>
        <v>0</v>
      </c>
      <c r="N84" s="299">
        <f>((N74*M43)-(N74*((M43-N43)*(1+$BR$35))))*Faktory!$D$8</f>
        <v>0</v>
      </c>
      <c r="O84" s="262">
        <f t="shared" si="165"/>
        <v>0</v>
      </c>
      <c r="P84" s="298">
        <f>P13*P43*Faktory!$D$8</f>
        <v>0</v>
      </c>
      <c r="Q84" s="299">
        <f>((Q74*P43)-(Q74*((P43-Q43)*(1+$BR$35))))*Faktory!$D$8</f>
        <v>0</v>
      </c>
      <c r="R84" s="262">
        <f t="shared" si="166"/>
        <v>0</v>
      </c>
      <c r="S84" s="298">
        <f>S13*S43*Faktory!$D$8</f>
        <v>0</v>
      </c>
      <c r="T84" s="299">
        <f>((T74*S43)-(T74*((S43-T43)*(1+$BR$35))))*Faktory!$D$8</f>
        <v>0</v>
      </c>
      <c r="U84" s="262">
        <f t="shared" si="167"/>
        <v>0</v>
      </c>
      <c r="V84" s="298">
        <f>V13*V43*Faktory!$D$8</f>
        <v>0</v>
      </c>
      <c r="W84" s="299">
        <f>((W74*V43)-(W74*((V43-W43)*(1+$BR$35))))*Faktory!$D$8</f>
        <v>0</v>
      </c>
      <c r="X84" s="262">
        <f t="shared" si="168"/>
        <v>0</v>
      </c>
      <c r="Y84" s="298">
        <f>Y13*Y43*Faktory!$D$8</f>
        <v>0</v>
      </c>
      <c r="Z84" s="299">
        <f>((Z74*Y43)-(Z74*((Y43-Z43)*(1+$BR$35))))*Faktory!$D$8</f>
        <v>0</v>
      </c>
      <c r="AA84" s="262">
        <f t="shared" si="169"/>
        <v>0</v>
      </c>
      <c r="AB84" s="298">
        <f>AB13*AB43*Faktory!$D$8</f>
        <v>0</v>
      </c>
      <c r="AC84" s="299">
        <f>((AC74*AB43)-(AC74*((AB43-AC43)*(1+$BR$35))))*Faktory!$D$8</f>
        <v>0</v>
      </c>
      <c r="AD84" s="262">
        <f t="shared" si="170"/>
        <v>0</v>
      </c>
      <c r="AE84" s="298">
        <f>AE13*AE43*Faktory!$D$8</f>
        <v>0</v>
      </c>
      <c r="AF84" s="299">
        <f>((AF74*AE43)-(AF74*((AE43-AF43)*(1+$BR$35))))*Faktory!$D$8</f>
        <v>0</v>
      </c>
      <c r="AG84" s="262">
        <f t="shared" si="171"/>
        <v>0</v>
      </c>
      <c r="AH84" s="298">
        <f>AH13*AH43*Faktory!$D$8</f>
        <v>0</v>
      </c>
      <c r="AI84" s="299">
        <f>((AI74*AH43)-(AI74*((AH43-AI43)*(1+$BR$35))))*Faktory!$D$8</f>
        <v>0</v>
      </c>
      <c r="AJ84" s="262">
        <f t="shared" si="172"/>
        <v>0</v>
      </c>
      <c r="AK84" s="298">
        <f>AK13*AK43*Faktory!$D$8</f>
        <v>0</v>
      </c>
      <c r="AL84" s="299">
        <f>((AL74*AK43)-(AL74*((AK43-AL43)*(1+$BR$35))))*Faktory!$D$8</f>
        <v>0</v>
      </c>
      <c r="AM84" s="262">
        <f t="shared" si="173"/>
        <v>0</v>
      </c>
      <c r="AN84" s="298">
        <f>AN13*AN43*Faktory!$D$8</f>
        <v>0</v>
      </c>
      <c r="AO84" s="299">
        <f>((AO74*AN43)-(AO74*((AN43-AO43)*(1+$BR$35))))*Faktory!$D$8</f>
        <v>0</v>
      </c>
      <c r="AP84" s="262">
        <f t="shared" si="174"/>
        <v>0</v>
      </c>
      <c r="AQ84" s="298">
        <f>AQ13*AQ43*Faktory!$D$8</f>
        <v>0</v>
      </c>
      <c r="AR84" s="299">
        <f>((AR74*AQ43)-(AR74*((AQ43-AR43)*(1+$BR$35))))*Faktory!$D$8</f>
        <v>0</v>
      </c>
      <c r="AS84" s="262">
        <f t="shared" si="175"/>
        <v>0</v>
      </c>
      <c r="AT84" s="298">
        <f>AT13*AT43*Faktory!$D$8</f>
        <v>0</v>
      </c>
      <c r="AU84" s="299">
        <f>((AU74*AT43)-(AU74*((AT43-AU43)*(1+$BR$35))))*Faktory!$D$8</f>
        <v>0</v>
      </c>
      <c r="AV84" s="262">
        <f t="shared" si="176"/>
        <v>0</v>
      </c>
      <c r="AW84" s="298">
        <f>AW13*AW43*Faktory!$D$8</f>
        <v>0</v>
      </c>
      <c r="AX84" s="299">
        <f>((AX74*AW43)-(AX74*((AW43-AX43)*(1+$BR$35))))*Faktory!$D$8</f>
        <v>0</v>
      </c>
      <c r="AY84" s="262">
        <f t="shared" si="177"/>
        <v>0</v>
      </c>
      <c r="AZ84" s="298">
        <f>AZ13*AZ43*Faktory!$D$8</f>
        <v>0</v>
      </c>
      <c r="BA84" s="299">
        <f>((BA74*AZ43)-(BA74*((AZ43-BA43)*(1+$BR$35))))*Faktory!$D$8</f>
        <v>0</v>
      </c>
      <c r="BB84" s="262">
        <f t="shared" si="178"/>
        <v>0</v>
      </c>
      <c r="BC84" s="298">
        <f>BC13*BC43*Faktory!$D$8</f>
        <v>0</v>
      </c>
      <c r="BD84" s="299">
        <f>((BD74*BC43)-(BD74*((BC43-BD43)*(1+$BR$35))))*Faktory!$D$8</f>
        <v>0</v>
      </c>
      <c r="BE84" s="262">
        <f t="shared" si="179"/>
        <v>0</v>
      </c>
      <c r="BF84" s="298">
        <f>BF13*BF43*Faktory!$D$8</f>
        <v>0</v>
      </c>
      <c r="BG84" s="299">
        <f>((BG74*BF43)-(BG74*((BF43-BG43)*(1+$BR$35))))*Faktory!$D$8</f>
        <v>0</v>
      </c>
      <c r="BH84" s="262">
        <f t="shared" si="180"/>
        <v>0</v>
      </c>
      <c r="BI84" s="298">
        <f>BI13*BI43*Faktory!$D$8</f>
        <v>0</v>
      </c>
      <c r="BJ84" s="299">
        <f>((BJ74*BI43)-(BJ74*((BI43-BJ43)*(1+$BR$35))))*Faktory!$D$8</f>
        <v>0</v>
      </c>
      <c r="BK84" s="262">
        <f t="shared" si="181"/>
        <v>0</v>
      </c>
      <c r="BL84" s="298">
        <f>BL13*BL43*Faktory!$D$8</f>
        <v>0</v>
      </c>
      <c r="BM84" s="299">
        <f>((BM74*BL43)-(BM74*((BL43-BM43)*(1+$BR$35))))*Faktory!$D$8</f>
        <v>0</v>
      </c>
      <c r="BN84" s="262">
        <f t="shared" si="182"/>
        <v>0</v>
      </c>
      <c r="BO84" s="298">
        <f>BO13*BO43*Faktory!$D$8</f>
        <v>0</v>
      </c>
      <c r="BP84" s="299">
        <f>((BP74*BO43)-(BP74*((BO43-BP43)*(1+$BR$35))))*Faktory!$D$8</f>
        <v>0</v>
      </c>
      <c r="BQ84" s="262">
        <f t="shared" si="183"/>
        <v>0</v>
      </c>
    </row>
    <row r="85" spans="1:69" ht="15.75" thickBot="1">
      <c r="A85" s="788"/>
      <c r="B85" s="790"/>
      <c r="C85" s="300" t="s">
        <v>34</v>
      </c>
      <c r="D85" s="301">
        <f t="shared" si="160"/>
        <v>8120532.1434262954</v>
      </c>
      <c r="E85" s="302">
        <f t="shared" si="161"/>
        <v>4440916.0159362545</v>
      </c>
      <c r="F85" s="303">
        <f t="shared" si="162"/>
        <v>-3679616.1274900408</v>
      </c>
      <c r="G85" s="304">
        <f>G14*G44*Faktory!$D$8</f>
        <v>507533.2589641434</v>
      </c>
      <c r="H85" s="305">
        <f>((H75*G44)-(H75*((G44-H44)*(1+$BR$35))))*Faktory!$D$8</f>
        <v>253766.6294820717</v>
      </c>
      <c r="I85" s="267">
        <f t="shared" si="163"/>
        <v>-253766.6294820717</v>
      </c>
      <c r="J85" s="304">
        <f>J14*J44*Faktory!$D$8</f>
        <v>7612998.8844621517</v>
      </c>
      <c r="K85" s="305">
        <f>((K75*J44)-(K75*((J44-K44)*(1+$BR$35))))*Faktory!$D$8</f>
        <v>4187149.3864541827</v>
      </c>
      <c r="L85" s="267">
        <f t="shared" si="164"/>
        <v>-3425849.498007969</v>
      </c>
      <c r="M85" s="304">
        <f>M14*M44*Faktory!$D$8</f>
        <v>0</v>
      </c>
      <c r="N85" s="305">
        <f>((N75*M44)-(N75*((M44-N44)*(1+$BR$35))))*Faktory!$D$8</f>
        <v>0</v>
      </c>
      <c r="O85" s="267">
        <f t="shared" si="165"/>
        <v>0</v>
      </c>
      <c r="P85" s="304">
        <f>P14*P44*Faktory!$D$8</f>
        <v>0</v>
      </c>
      <c r="Q85" s="305">
        <f>((Q75*P44)-(Q75*((P44-Q44)*(1+$BR$35))))*Faktory!$D$8</f>
        <v>0</v>
      </c>
      <c r="R85" s="267">
        <f t="shared" si="166"/>
        <v>0</v>
      </c>
      <c r="S85" s="304">
        <f>S14*S44*Faktory!$D$8</f>
        <v>0</v>
      </c>
      <c r="T85" s="305">
        <f>((T75*S44)-(T75*((S44-T44)*(1+$BR$35))))*Faktory!$D$8</f>
        <v>0</v>
      </c>
      <c r="U85" s="267">
        <f t="shared" si="167"/>
        <v>0</v>
      </c>
      <c r="V85" s="304">
        <f>V14*V44*Faktory!$D$8</f>
        <v>0</v>
      </c>
      <c r="W85" s="305">
        <f>((W75*V44)-(W75*((V44-W44)*(1+$BR$35))))*Faktory!$D$8</f>
        <v>0</v>
      </c>
      <c r="X85" s="267">
        <f t="shared" si="168"/>
        <v>0</v>
      </c>
      <c r="Y85" s="304">
        <f>Y14*Y44*Faktory!$D$8</f>
        <v>0</v>
      </c>
      <c r="Z85" s="305">
        <f>((Z75*Y44)-(Z75*((Y44-Z44)*(1+$BR$35))))*Faktory!$D$8</f>
        <v>0</v>
      </c>
      <c r="AA85" s="267">
        <f t="shared" si="169"/>
        <v>0</v>
      </c>
      <c r="AB85" s="304">
        <f>AB14*AB44*Faktory!$D$8</f>
        <v>0</v>
      </c>
      <c r="AC85" s="305">
        <f>((AC75*AB44)-(AC75*((AB44-AC44)*(1+$BR$35))))*Faktory!$D$8</f>
        <v>0</v>
      </c>
      <c r="AD85" s="267">
        <f t="shared" si="170"/>
        <v>0</v>
      </c>
      <c r="AE85" s="304">
        <f>AE14*AE44*Faktory!$D$8</f>
        <v>0</v>
      </c>
      <c r="AF85" s="305">
        <f>((AF75*AE44)-(AF75*((AE44-AF44)*(1+$BR$35))))*Faktory!$D$8</f>
        <v>0</v>
      </c>
      <c r="AG85" s="267">
        <f t="shared" si="171"/>
        <v>0</v>
      </c>
      <c r="AH85" s="304">
        <f>AH14*AH44*Faktory!$D$8</f>
        <v>0</v>
      </c>
      <c r="AI85" s="305">
        <f>((AI75*AH44)-(AI75*((AH44-AI44)*(1+$BR$35))))*Faktory!$D$8</f>
        <v>0</v>
      </c>
      <c r="AJ85" s="267">
        <f t="shared" si="172"/>
        <v>0</v>
      </c>
      <c r="AK85" s="304">
        <f>AK14*AK44*Faktory!$D$8</f>
        <v>0</v>
      </c>
      <c r="AL85" s="305">
        <f>((AL75*AK44)-(AL75*((AK44-AL44)*(1+$BR$35))))*Faktory!$D$8</f>
        <v>0</v>
      </c>
      <c r="AM85" s="267">
        <f t="shared" si="173"/>
        <v>0</v>
      </c>
      <c r="AN85" s="304">
        <f>AN14*AN44*Faktory!$D$8</f>
        <v>0</v>
      </c>
      <c r="AO85" s="305">
        <f>((AO75*AN44)-(AO75*((AN44-AO44)*(1+$BR$35))))*Faktory!$D$8</f>
        <v>0</v>
      </c>
      <c r="AP85" s="267">
        <f t="shared" si="174"/>
        <v>0</v>
      </c>
      <c r="AQ85" s="304">
        <f>AQ14*AQ44*Faktory!$D$8</f>
        <v>0</v>
      </c>
      <c r="AR85" s="305">
        <f>((AR75*AQ44)-(AR75*((AQ44-AR44)*(1+$BR$35))))*Faktory!$D$8</f>
        <v>0</v>
      </c>
      <c r="AS85" s="267">
        <f t="shared" si="175"/>
        <v>0</v>
      </c>
      <c r="AT85" s="304">
        <f>AT14*AT44*Faktory!$D$8</f>
        <v>0</v>
      </c>
      <c r="AU85" s="305">
        <f>((AU75*AT44)-(AU75*((AT44-AU44)*(1+$BR$35))))*Faktory!$D$8</f>
        <v>0</v>
      </c>
      <c r="AV85" s="267">
        <f t="shared" si="176"/>
        <v>0</v>
      </c>
      <c r="AW85" s="304">
        <f>AW14*AW44*Faktory!$D$8</f>
        <v>0</v>
      </c>
      <c r="AX85" s="305">
        <f>((AX75*AW44)-(AX75*((AW44-AX44)*(1+$BR$35))))*Faktory!$D$8</f>
        <v>0</v>
      </c>
      <c r="AY85" s="267">
        <f t="shared" si="177"/>
        <v>0</v>
      </c>
      <c r="AZ85" s="304">
        <f>AZ14*AZ44*Faktory!$D$8</f>
        <v>0</v>
      </c>
      <c r="BA85" s="305">
        <f>((BA75*AZ44)-(BA75*((AZ44-BA44)*(1+$BR$35))))*Faktory!$D$8</f>
        <v>0</v>
      </c>
      <c r="BB85" s="267">
        <f t="shared" si="178"/>
        <v>0</v>
      </c>
      <c r="BC85" s="304">
        <f>BC14*BC44*Faktory!$D$8</f>
        <v>0</v>
      </c>
      <c r="BD85" s="305">
        <f>((BD75*BC44)-(BD75*((BC44-BD44)*(1+$BR$35))))*Faktory!$D$8</f>
        <v>0</v>
      </c>
      <c r="BE85" s="267">
        <f t="shared" si="179"/>
        <v>0</v>
      </c>
      <c r="BF85" s="304">
        <f>BF14*BF44*Faktory!$D$8</f>
        <v>0</v>
      </c>
      <c r="BG85" s="305">
        <f>((BG75*BF44)-(BG75*((BF44-BG44)*(1+$BR$35))))*Faktory!$D$8</f>
        <v>0</v>
      </c>
      <c r="BH85" s="267">
        <f t="shared" si="180"/>
        <v>0</v>
      </c>
      <c r="BI85" s="304">
        <f>BI14*BI44*Faktory!$D$8</f>
        <v>0</v>
      </c>
      <c r="BJ85" s="305">
        <f>((BJ75*BI44)-(BJ75*((BI44-BJ44)*(1+$BR$35))))*Faktory!$D$8</f>
        <v>0</v>
      </c>
      <c r="BK85" s="267">
        <f t="shared" si="181"/>
        <v>0</v>
      </c>
      <c r="BL85" s="304">
        <f>BL14*BL44*Faktory!$D$8</f>
        <v>0</v>
      </c>
      <c r="BM85" s="305">
        <f>((BM75*BL44)-(BM75*((BL44-BM44)*(1+$BR$35))))*Faktory!$D$8</f>
        <v>0</v>
      </c>
      <c r="BN85" s="267">
        <f t="shared" si="182"/>
        <v>0</v>
      </c>
      <c r="BO85" s="304">
        <f>BO14*BO44*Faktory!$D$8</f>
        <v>0</v>
      </c>
      <c r="BP85" s="305">
        <f>((BP75*BO44)-(BP75*((BO44-BP44)*(1+$BR$35))))*Faktory!$D$8</f>
        <v>0</v>
      </c>
      <c r="BQ85" s="267">
        <f t="shared" si="183"/>
        <v>0</v>
      </c>
    </row>
    <row r="86" spans="1:69">
      <c r="A86" s="787" t="s">
        <v>142</v>
      </c>
      <c r="B86" s="789" t="s">
        <v>143</v>
      </c>
      <c r="C86" s="290" t="s">
        <v>25</v>
      </c>
      <c r="D86" s="291">
        <f t="shared" si="160"/>
        <v>152.38095238095235</v>
      </c>
      <c r="E86" s="292">
        <f t="shared" si="161"/>
        <v>83.333333333333343</v>
      </c>
      <c r="F86" s="293">
        <f t="shared" si="162"/>
        <v>-69.047619047619008</v>
      </c>
      <c r="G86" s="308">
        <f t="shared" ref="G86:H95" si="184">(G5*G35)/12/21/7.5</f>
        <v>9.5238095238095237</v>
      </c>
      <c r="H86" s="309">
        <f t="shared" si="184"/>
        <v>4.7619047619047619</v>
      </c>
      <c r="I86" s="310">
        <f t="shared" si="163"/>
        <v>-4.7619047619047619</v>
      </c>
      <c r="J86" s="308">
        <f t="shared" ref="J86:K86" si="185">(J5*J35)/12/21/7.5</f>
        <v>142.85714285714283</v>
      </c>
      <c r="K86" s="309">
        <f t="shared" si="185"/>
        <v>78.571428571428584</v>
      </c>
      <c r="L86" s="310">
        <f t="shared" si="164"/>
        <v>-64.285714285714249</v>
      </c>
      <c r="M86" s="308">
        <f t="shared" ref="M86:N86" si="186">(M5*M35)/12/21/7.5</f>
        <v>0</v>
      </c>
      <c r="N86" s="309">
        <f t="shared" si="186"/>
        <v>0</v>
      </c>
      <c r="O86" s="310">
        <f t="shared" si="165"/>
        <v>0</v>
      </c>
      <c r="P86" s="308">
        <f t="shared" ref="P86:Q86" si="187">(P5*P35)/12/21/7.5</f>
        <v>0</v>
      </c>
      <c r="Q86" s="309">
        <f t="shared" si="187"/>
        <v>0</v>
      </c>
      <c r="R86" s="310">
        <f t="shared" si="166"/>
        <v>0</v>
      </c>
      <c r="S86" s="308">
        <f t="shared" ref="S86:T86" si="188">(S5*S35)/12/21/7.5</f>
        <v>0</v>
      </c>
      <c r="T86" s="309">
        <f t="shared" si="188"/>
        <v>0</v>
      </c>
      <c r="U86" s="310">
        <f t="shared" si="167"/>
        <v>0</v>
      </c>
      <c r="V86" s="308">
        <f t="shared" ref="V86:W86" si="189">(V5*V35)/12/21/7.5</f>
        <v>0</v>
      </c>
      <c r="W86" s="309">
        <f t="shared" si="189"/>
        <v>0</v>
      </c>
      <c r="X86" s="310">
        <f t="shared" si="168"/>
        <v>0</v>
      </c>
      <c r="Y86" s="308">
        <f t="shared" ref="Y86:Z86" si="190">(Y5*Y35)/12/21/7.5</f>
        <v>0</v>
      </c>
      <c r="Z86" s="309">
        <f t="shared" si="190"/>
        <v>0</v>
      </c>
      <c r="AA86" s="310">
        <f t="shared" si="169"/>
        <v>0</v>
      </c>
      <c r="AB86" s="308">
        <f t="shared" ref="AB86:AC86" si="191">(AB5*AB35)/12/21/7.5</f>
        <v>0</v>
      </c>
      <c r="AC86" s="309">
        <f t="shared" si="191"/>
        <v>0</v>
      </c>
      <c r="AD86" s="310">
        <f t="shared" si="170"/>
        <v>0</v>
      </c>
      <c r="AE86" s="308">
        <f t="shared" ref="AE86:AF86" si="192">(AE5*AE35)/12/21/7.5</f>
        <v>0</v>
      </c>
      <c r="AF86" s="309">
        <f t="shared" si="192"/>
        <v>0</v>
      </c>
      <c r="AG86" s="310">
        <f t="shared" si="171"/>
        <v>0</v>
      </c>
      <c r="AH86" s="308">
        <f t="shared" ref="AH86:AI86" si="193">(AH5*AH35)/12/21/7.5</f>
        <v>0</v>
      </c>
      <c r="AI86" s="309">
        <f t="shared" si="193"/>
        <v>0</v>
      </c>
      <c r="AJ86" s="310">
        <f t="shared" si="172"/>
        <v>0</v>
      </c>
      <c r="AK86" s="308">
        <f t="shared" ref="AK86:AL86" si="194">(AK5*AK35)/12/21/7.5</f>
        <v>0</v>
      </c>
      <c r="AL86" s="309">
        <f t="shared" si="194"/>
        <v>0</v>
      </c>
      <c r="AM86" s="310">
        <f t="shared" si="173"/>
        <v>0</v>
      </c>
      <c r="AN86" s="308">
        <f t="shared" ref="AN86:AO86" si="195">(AN5*AN35)/12/21/7.5</f>
        <v>0</v>
      </c>
      <c r="AO86" s="309">
        <f t="shared" si="195"/>
        <v>0</v>
      </c>
      <c r="AP86" s="310">
        <f t="shared" si="174"/>
        <v>0</v>
      </c>
      <c r="AQ86" s="308">
        <f t="shared" ref="AQ86:AR86" si="196">(AQ5*AQ35)/12/21/7.5</f>
        <v>0</v>
      </c>
      <c r="AR86" s="309">
        <f t="shared" si="196"/>
        <v>0</v>
      </c>
      <c r="AS86" s="310">
        <f t="shared" si="175"/>
        <v>0</v>
      </c>
      <c r="AT86" s="308">
        <f t="shared" ref="AT86:AU86" si="197">(AT5*AT35)/12/21/7.5</f>
        <v>0</v>
      </c>
      <c r="AU86" s="309">
        <f t="shared" si="197"/>
        <v>0</v>
      </c>
      <c r="AV86" s="310">
        <f t="shared" si="176"/>
        <v>0</v>
      </c>
      <c r="AW86" s="308">
        <f t="shared" ref="AW86:AX86" si="198">(AW5*AW35)/12/21/7.5</f>
        <v>0</v>
      </c>
      <c r="AX86" s="309">
        <f t="shared" si="198"/>
        <v>0</v>
      </c>
      <c r="AY86" s="310">
        <f t="shared" si="177"/>
        <v>0</v>
      </c>
      <c r="AZ86" s="308">
        <f t="shared" ref="AZ86:BA86" si="199">(AZ5*AZ35)/12/21/7.5</f>
        <v>0</v>
      </c>
      <c r="BA86" s="309">
        <f t="shared" si="199"/>
        <v>0</v>
      </c>
      <c r="BB86" s="310">
        <f t="shared" si="178"/>
        <v>0</v>
      </c>
      <c r="BC86" s="308">
        <f t="shared" ref="BC86:BD86" si="200">(BC5*BC35)/12/21/7.5</f>
        <v>0</v>
      </c>
      <c r="BD86" s="309">
        <f t="shared" si="200"/>
        <v>0</v>
      </c>
      <c r="BE86" s="310">
        <f t="shared" si="179"/>
        <v>0</v>
      </c>
      <c r="BF86" s="308">
        <f t="shared" ref="BF86:BG86" si="201">(BF5*BF35)/12/21/7.5</f>
        <v>0</v>
      </c>
      <c r="BG86" s="309">
        <f t="shared" si="201"/>
        <v>0</v>
      </c>
      <c r="BH86" s="310">
        <f t="shared" si="180"/>
        <v>0</v>
      </c>
      <c r="BI86" s="308">
        <f t="shared" ref="BI86:BJ95" si="202">(BI5*BI35)/12/21/7.5</f>
        <v>0</v>
      </c>
      <c r="BJ86" s="309">
        <f t="shared" si="202"/>
        <v>0</v>
      </c>
      <c r="BK86" s="310">
        <f t="shared" si="181"/>
        <v>0</v>
      </c>
      <c r="BL86" s="308">
        <f t="shared" ref="BL86:BM95" si="203">(BL5*BL35)/12/21/7.5</f>
        <v>0</v>
      </c>
      <c r="BM86" s="309">
        <f t="shared" si="203"/>
        <v>0</v>
      </c>
      <c r="BN86" s="310">
        <f t="shared" si="182"/>
        <v>0</v>
      </c>
      <c r="BO86" s="308">
        <f t="shared" ref="BO86:BP95" si="204">(BO5*BO35)/12/21/7.5</f>
        <v>0</v>
      </c>
      <c r="BP86" s="309">
        <f t="shared" si="204"/>
        <v>0</v>
      </c>
      <c r="BQ86" s="310">
        <f t="shared" si="183"/>
        <v>0</v>
      </c>
    </row>
    <row r="87" spans="1:69">
      <c r="A87" s="787"/>
      <c r="B87" s="789"/>
      <c r="C87" s="290" t="s">
        <v>26</v>
      </c>
      <c r="D87" s="291">
        <f t="shared" si="160"/>
        <v>253.96825396825398</v>
      </c>
      <c r="E87" s="292">
        <f t="shared" si="161"/>
        <v>138.88888888888886</v>
      </c>
      <c r="F87" s="293">
        <f t="shared" si="162"/>
        <v>-115.0793650793651</v>
      </c>
      <c r="G87" s="311">
        <f t="shared" si="184"/>
        <v>15.873015873015873</v>
      </c>
      <c r="H87" s="312">
        <f t="shared" si="184"/>
        <v>7.9365079365079367</v>
      </c>
      <c r="I87" s="313">
        <f t="shared" si="163"/>
        <v>-7.9365079365079367</v>
      </c>
      <c r="J87" s="311">
        <f t="shared" ref="J87:K87" si="205">(J6*J36)/12/21/7.5</f>
        <v>238.0952380952381</v>
      </c>
      <c r="K87" s="312">
        <f t="shared" si="205"/>
        <v>130.95238095238093</v>
      </c>
      <c r="L87" s="313">
        <f t="shared" si="164"/>
        <v>-107.14285714285717</v>
      </c>
      <c r="M87" s="311">
        <f t="shared" ref="M87:N87" si="206">(M6*M36)/12/21/7.5</f>
        <v>0</v>
      </c>
      <c r="N87" s="312">
        <f t="shared" si="206"/>
        <v>0</v>
      </c>
      <c r="O87" s="313">
        <f t="shared" si="165"/>
        <v>0</v>
      </c>
      <c r="P87" s="311">
        <f t="shared" ref="P87:Q87" si="207">(P6*P36)/12/21/7.5</f>
        <v>0</v>
      </c>
      <c r="Q87" s="312">
        <f t="shared" si="207"/>
        <v>0</v>
      </c>
      <c r="R87" s="313">
        <f t="shared" si="166"/>
        <v>0</v>
      </c>
      <c r="S87" s="311">
        <f t="shared" ref="S87:T87" si="208">(S6*S36)/12/21/7.5</f>
        <v>0</v>
      </c>
      <c r="T87" s="312">
        <f t="shared" si="208"/>
        <v>0</v>
      </c>
      <c r="U87" s="313">
        <f t="shared" si="167"/>
        <v>0</v>
      </c>
      <c r="V87" s="311">
        <f t="shared" ref="V87:W87" si="209">(V6*V36)/12/21/7.5</f>
        <v>0</v>
      </c>
      <c r="W87" s="312">
        <f t="shared" si="209"/>
        <v>0</v>
      </c>
      <c r="X87" s="313">
        <f t="shared" si="168"/>
        <v>0</v>
      </c>
      <c r="Y87" s="311">
        <f t="shared" ref="Y87:Z87" si="210">(Y6*Y36)/12/21/7.5</f>
        <v>0</v>
      </c>
      <c r="Z87" s="312">
        <f t="shared" si="210"/>
        <v>0</v>
      </c>
      <c r="AA87" s="313">
        <f t="shared" si="169"/>
        <v>0</v>
      </c>
      <c r="AB87" s="311">
        <f t="shared" ref="AB87:AC87" si="211">(AB6*AB36)/12/21/7.5</f>
        <v>0</v>
      </c>
      <c r="AC87" s="312">
        <f t="shared" si="211"/>
        <v>0</v>
      </c>
      <c r="AD87" s="313">
        <f t="shared" si="170"/>
        <v>0</v>
      </c>
      <c r="AE87" s="311">
        <f t="shared" ref="AE87:AF87" si="212">(AE6*AE36)/12/21/7.5</f>
        <v>0</v>
      </c>
      <c r="AF87" s="312">
        <f t="shared" si="212"/>
        <v>0</v>
      </c>
      <c r="AG87" s="313">
        <f t="shared" si="171"/>
        <v>0</v>
      </c>
      <c r="AH87" s="311">
        <f t="shared" ref="AH87:AI87" si="213">(AH6*AH36)/12/21/7.5</f>
        <v>0</v>
      </c>
      <c r="AI87" s="312">
        <f t="shared" si="213"/>
        <v>0</v>
      </c>
      <c r="AJ87" s="313">
        <f t="shared" si="172"/>
        <v>0</v>
      </c>
      <c r="AK87" s="311">
        <f t="shared" ref="AK87:AL87" si="214">(AK6*AK36)/12/21/7.5</f>
        <v>0</v>
      </c>
      <c r="AL87" s="312">
        <f t="shared" si="214"/>
        <v>0</v>
      </c>
      <c r="AM87" s="313">
        <f t="shared" si="173"/>
        <v>0</v>
      </c>
      <c r="AN87" s="311">
        <f t="shared" ref="AN87:AO87" si="215">(AN6*AN36)/12/21/7.5</f>
        <v>0</v>
      </c>
      <c r="AO87" s="312">
        <f t="shared" si="215"/>
        <v>0</v>
      </c>
      <c r="AP87" s="313">
        <f t="shared" si="174"/>
        <v>0</v>
      </c>
      <c r="AQ87" s="311">
        <f t="shared" ref="AQ87:AR87" si="216">(AQ6*AQ36)/12/21/7.5</f>
        <v>0</v>
      </c>
      <c r="AR87" s="312">
        <f t="shared" si="216"/>
        <v>0</v>
      </c>
      <c r="AS87" s="313">
        <f t="shared" si="175"/>
        <v>0</v>
      </c>
      <c r="AT87" s="311">
        <f t="shared" ref="AT87:AU87" si="217">(AT6*AT36)/12/21/7.5</f>
        <v>0</v>
      </c>
      <c r="AU87" s="312">
        <f t="shared" si="217"/>
        <v>0</v>
      </c>
      <c r="AV87" s="313">
        <f t="shared" si="176"/>
        <v>0</v>
      </c>
      <c r="AW87" s="311">
        <f t="shared" ref="AW87:AX87" si="218">(AW6*AW36)/12/21/7.5</f>
        <v>0</v>
      </c>
      <c r="AX87" s="312">
        <f t="shared" si="218"/>
        <v>0</v>
      </c>
      <c r="AY87" s="313">
        <f t="shared" si="177"/>
        <v>0</v>
      </c>
      <c r="AZ87" s="311">
        <f t="shared" ref="AZ87:BA87" si="219">(AZ6*AZ36)/12/21/7.5</f>
        <v>0</v>
      </c>
      <c r="BA87" s="312">
        <f t="shared" si="219"/>
        <v>0</v>
      </c>
      <c r="BB87" s="313">
        <f t="shared" si="178"/>
        <v>0</v>
      </c>
      <c r="BC87" s="311">
        <f t="shared" ref="BC87:BD87" si="220">(BC6*BC36)/12/21/7.5</f>
        <v>0</v>
      </c>
      <c r="BD87" s="312">
        <f t="shared" si="220"/>
        <v>0</v>
      </c>
      <c r="BE87" s="313">
        <f t="shared" si="179"/>
        <v>0</v>
      </c>
      <c r="BF87" s="311">
        <f t="shared" ref="BF87:BG87" si="221">(BF6*BF36)/12/21/7.5</f>
        <v>0</v>
      </c>
      <c r="BG87" s="312">
        <f t="shared" si="221"/>
        <v>0</v>
      </c>
      <c r="BH87" s="313">
        <f t="shared" si="180"/>
        <v>0</v>
      </c>
      <c r="BI87" s="311">
        <f t="shared" si="202"/>
        <v>0</v>
      </c>
      <c r="BJ87" s="312">
        <f t="shared" si="202"/>
        <v>0</v>
      </c>
      <c r="BK87" s="313">
        <f t="shared" si="181"/>
        <v>0</v>
      </c>
      <c r="BL87" s="311">
        <f t="shared" si="203"/>
        <v>0</v>
      </c>
      <c r="BM87" s="312">
        <f t="shared" si="203"/>
        <v>0</v>
      </c>
      <c r="BN87" s="313">
        <f t="shared" si="182"/>
        <v>0</v>
      </c>
      <c r="BO87" s="311">
        <f t="shared" si="204"/>
        <v>0</v>
      </c>
      <c r="BP87" s="312">
        <f t="shared" si="204"/>
        <v>0</v>
      </c>
      <c r="BQ87" s="313">
        <f t="shared" si="183"/>
        <v>0</v>
      </c>
    </row>
    <row r="88" spans="1:69">
      <c r="A88" s="787"/>
      <c r="B88" s="789"/>
      <c r="C88" s="290" t="s">
        <v>27</v>
      </c>
      <c r="D88" s="291">
        <f t="shared" si="160"/>
        <v>253.96825396825398</v>
      </c>
      <c r="E88" s="292">
        <f t="shared" si="161"/>
        <v>138.88888888888886</v>
      </c>
      <c r="F88" s="293">
        <f t="shared" si="162"/>
        <v>-115.0793650793651</v>
      </c>
      <c r="G88" s="311">
        <f t="shared" si="184"/>
        <v>15.873015873015873</v>
      </c>
      <c r="H88" s="312">
        <f t="shared" si="184"/>
        <v>7.9365079365079367</v>
      </c>
      <c r="I88" s="313">
        <f t="shared" si="163"/>
        <v>-7.9365079365079367</v>
      </c>
      <c r="J88" s="311">
        <f t="shared" ref="J88:K88" si="222">(J7*J37)/12/21/7.5</f>
        <v>238.0952380952381</v>
      </c>
      <c r="K88" s="312">
        <f t="shared" si="222"/>
        <v>130.95238095238093</v>
      </c>
      <c r="L88" s="313">
        <f t="shared" si="164"/>
        <v>-107.14285714285717</v>
      </c>
      <c r="M88" s="311">
        <f t="shared" ref="M88:N88" si="223">(M7*M37)/12/21/7.5</f>
        <v>0</v>
      </c>
      <c r="N88" s="312">
        <f t="shared" si="223"/>
        <v>0</v>
      </c>
      <c r="O88" s="313">
        <f t="shared" si="165"/>
        <v>0</v>
      </c>
      <c r="P88" s="311">
        <f t="shared" ref="P88:Q88" si="224">(P7*P37)/12/21/7.5</f>
        <v>0</v>
      </c>
      <c r="Q88" s="312">
        <f t="shared" si="224"/>
        <v>0</v>
      </c>
      <c r="R88" s="313">
        <f t="shared" si="166"/>
        <v>0</v>
      </c>
      <c r="S88" s="311">
        <f t="shared" ref="S88:T88" si="225">(S7*S37)/12/21/7.5</f>
        <v>0</v>
      </c>
      <c r="T88" s="312">
        <f t="shared" si="225"/>
        <v>0</v>
      </c>
      <c r="U88" s="313">
        <f t="shared" si="167"/>
        <v>0</v>
      </c>
      <c r="V88" s="311">
        <f t="shared" ref="V88:W88" si="226">(V7*V37)/12/21/7.5</f>
        <v>0</v>
      </c>
      <c r="W88" s="312">
        <f t="shared" si="226"/>
        <v>0</v>
      </c>
      <c r="X88" s="313">
        <f t="shared" si="168"/>
        <v>0</v>
      </c>
      <c r="Y88" s="311">
        <f t="shared" ref="Y88:Z88" si="227">(Y7*Y37)/12/21/7.5</f>
        <v>0</v>
      </c>
      <c r="Z88" s="312">
        <f t="shared" si="227"/>
        <v>0</v>
      </c>
      <c r="AA88" s="313">
        <f t="shared" si="169"/>
        <v>0</v>
      </c>
      <c r="AB88" s="311">
        <f t="shared" ref="AB88:AC88" si="228">(AB7*AB37)/12/21/7.5</f>
        <v>0</v>
      </c>
      <c r="AC88" s="312">
        <f t="shared" si="228"/>
        <v>0</v>
      </c>
      <c r="AD88" s="313">
        <f t="shared" si="170"/>
        <v>0</v>
      </c>
      <c r="AE88" s="311">
        <f t="shared" ref="AE88:AF88" si="229">(AE7*AE37)/12/21/7.5</f>
        <v>0</v>
      </c>
      <c r="AF88" s="312">
        <f t="shared" si="229"/>
        <v>0</v>
      </c>
      <c r="AG88" s="313">
        <f t="shared" si="171"/>
        <v>0</v>
      </c>
      <c r="AH88" s="311">
        <f t="shared" ref="AH88:AI88" si="230">(AH7*AH37)/12/21/7.5</f>
        <v>0</v>
      </c>
      <c r="AI88" s="312">
        <f t="shared" si="230"/>
        <v>0</v>
      </c>
      <c r="AJ88" s="313">
        <f t="shared" si="172"/>
        <v>0</v>
      </c>
      <c r="AK88" s="311">
        <f t="shared" ref="AK88:AL88" si="231">(AK7*AK37)/12/21/7.5</f>
        <v>0</v>
      </c>
      <c r="AL88" s="312">
        <f t="shared" si="231"/>
        <v>0</v>
      </c>
      <c r="AM88" s="313">
        <f t="shared" si="173"/>
        <v>0</v>
      </c>
      <c r="AN88" s="311">
        <f t="shared" ref="AN88:AO88" si="232">(AN7*AN37)/12/21/7.5</f>
        <v>0</v>
      </c>
      <c r="AO88" s="312">
        <f t="shared" si="232"/>
        <v>0</v>
      </c>
      <c r="AP88" s="313">
        <f t="shared" si="174"/>
        <v>0</v>
      </c>
      <c r="AQ88" s="311">
        <f t="shared" ref="AQ88:AR88" si="233">(AQ7*AQ37)/12/21/7.5</f>
        <v>0</v>
      </c>
      <c r="AR88" s="312">
        <f t="shared" si="233"/>
        <v>0</v>
      </c>
      <c r="AS88" s="313">
        <f t="shared" si="175"/>
        <v>0</v>
      </c>
      <c r="AT88" s="311">
        <f t="shared" ref="AT88:AU88" si="234">(AT7*AT37)/12/21/7.5</f>
        <v>0</v>
      </c>
      <c r="AU88" s="312">
        <f t="shared" si="234"/>
        <v>0</v>
      </c>
      <c r="AV88" s="313">
        <f t="shared" si="176"/>
        <v>0</v>
      </c>
      <c r="AW88" s="311">
        <f t="shared" ref="AW88:AX88" si="235">(AW7*AW37)/12/21/7.5</f>
        <v>0</v>
      </c>
      <c r="AX88" s="312">
        <f t="shared" si="235"/>
        <v>0</v>
      </c>
      <c r="AY88" s="313">
        <f t="shared" si="177"/>
        <v>0</v>
      </c>
      <c r="AZ88" s="311">
        <f t="shared" ref="AZ88:BA88" si="236">(AZ7*AZ37)/12/21/7.5</f>
        <v>0</v>
      </c>
      <c r="BA88" s="312">
        <f t="shared" si="236"/>
        <v>0</v>
      </c>
      <c r="BB88" s="313">
        <f t="shared" si="178"/>
        <v>0</v>
      </c>
      <c r="BC88" s="311">
        <f t="shared" ref="BC88:BD88" si="237">(BC7*BC37)/12/21/7.5</f>
        <v>0</v>
      </c>
      <c r="BD88" s="312">
        <f t="shared" si="237"/>
        <v>0</v>
      </c>
      <c r="BE88" s="313">
        <f t="shared" si="179"/>
        <v>0</v>
      </c>
      <c r="BF88" s="311">
        <f t="shared" ref="BF88:BG88" si="238">(BF7*BF37)/12/21/7.5</f>
        <v>0</v>
      </c>
      <c r="BG88" s="312">
        <f t="shared" si="238"/>
        <v>0</v>
      </c>
      <c r="BH88" s="313">
        <f t="shared" si="180"/>
        <v>0</v>
      </c>
      <c r="BI88" s="311">
        <f t="shared" si="202"/>
        <v>0</v>
      </c>
      <c r="BJ88" s="312">
        <f t="shared" si="202"/>
        <v>0</v>
      </c>
      <c r="BK88" s="313">
        <f t="shared" si="181"/>
        <v>0</v>
      </c>
      <c r="BL88" s="311">
        <f t="shared" si="203"/>
        <v>0</v>
      </c>
      <c r="BM88" s="312">
        <f t="shared" si="203"/>
        <v>0</v>
      </c>
      <c r="BN88" s="313">
        <f t="shared" si="182"/>
        <v>0</v>
      </c>
      <c r="BO88" s="311">
        <f t="shared" si="204"/>
        <v>0</v>
      </c>
      <c r="BP88" s="312">
        <f t="shared" si="204"/>
        <v>0</v>
      </c>
      <c r="BQ88" s="313">
        <f t="shared" si="183"/>
        <v>0</v>
      </c>
    </row>
    <row r="89" spans="1:69">
      <c r="A89" s="787"/>
      <c r="B89" s="789"/>
      <c r="C89" s="290" t="s">
        <v>28</v>
      </c>
      <c r="D89" s="291">
        <f t="shared" si="160"/>
        <v>253.96825396825398</v>
      </c>
      <c r="E89" s="292">
        <f t="shared" si="161"/>
        <v>138.88888888888886</v>
      </c>
      <c r="F89" s="293">
        <f t="shared" si="162"/>
        <v>-115.0793650793651</v>
      </c>
      <c r="G89" s="311">
        <f t="shared" si="184"/>
        <v>15.873015873015873</v>
      </c>
      <c r="H89" s="312">
        <f t="shared" si="184"/>
        <v>7.9365079365079367</v>
      </c>
      <c r="I89" s="313">
        <f t="shared" si="163"/>
        <v>-7.9365079365079367</v>
      </c>
      <c r="J89" s="311">
        <f t="shared" ref="J89:K89" si="239">(J8*J38)/12/21/7.5</f>
        <v>238.0952380952381</v>
      </c>
      <c r="K89" s="312">
        <f t="shared" si="239"/>
        <v>130.95238095238093</v>
      </c>
      <c r="L89" s="313">
        <f t="shared" si="164"/>
        <v>-107.14285714285717</v>
      </c>
      <c r="M89" s="311">
        <f t="shared" ref="M89:N89" si="240">(M8*M38)/12/21/7.5</f>
        <v>0</v>
      </c>
      <c r="N89" s="312">
        <f t="shared" si="240"/>
        <v>0</v>
      </c>
      <c r="O89" s="313">
        <f t="shared" si="165"/>
        <v>0</v>
      </c>
      <c r="P89" s="311">
        <f t="shared" ref="P89:Q89" si="241">(P8*P38)/12/21/7.5</f>
        <v>0</v>
      </c>
      <c r="Q89" s="312">
        <f t="shared" si="241"/>
        <v>0</v>
      </c>
      <c r="R89" s="313">
        <f t="shared" si="166"/>
        <v>0</v>
      </c>
      <c r="S89" s="311">
        <f t="shared" ref="S89:T89" si="242">(S8*S38)/12/21/7.5</f>
        <v>0</v>
      </c>
      <c r="T89" s="312">
        <f t="shared" si="242"/>
        <v>0</v>
      </c>
      <c r="U89" s="313">
        <f t="shared" si="167"/>
        <v>0</v>
      </c>
      <c r="V89" s="311">
        <f t="shared" ref="V89:W89" si="243">(V8*V38)/12/21/7.5</f>
        <v>0</v>
      </c>
      <c r="W89" s="312">
        <f t="shared" si="243"/>
        <v>0</v>
      </c>
      <c r="X89" s="313">
        <f t="shared" si="168"/>
        <v>0</v>
      </c>
      <c r="Y89" s="311">
        <f t="shared" ref="Y89:Z89" si="244">(Y8*Y38)/12/21/7.5</f>
        <v>0</v>
      </c>
      <c r="Z89" s="312">
        <f t="shared" si="244"/>
        <v>0</v>
      </c>
      <c r="AA89" s="313">
        <f t="shared" si="169"/>
        <v>0</v>
      </c>
      <c r="AB89" s="311">
        <f t="shared" ref="AB89:AC89" si="245">(AB8*AB38)/12/21/7.5</f>
        <v>0</v>
      </c>
      <c r="AC89" s="312">
        <f t="shared" si="245"/>
        <v>0</v>
      </c>
      <c r="AD89" s="313">
        <f t="shared" si="170"/>
        <v>0</v>
      </c>
      <c r="AE89" s="311">
        <f t="shared" ref="AE89:AF89" si="246">(AE8*AE38)/12/21/7.5</f>
        <v>0</v>
      </c>
      <c r="AF89" s="312">
        <f t="shared" si="246"/>
        <v>0</v>
      </c>
      <c r="AG89" s="313">
        <f t="shared" si="171"/>
        <v>0</v>
      </c>
      <c r="AH89" s="311">
        <f t="shared" ref="AH89:AI89" si="247">(AH8*AH38)/12/21/7.5</f>
        <v>0</v>
      </c>
      <c r="AI89" s="312">
        <f t="shared" si="247"/>
        <v>0</v>
      </c>
      <c r="AJ89" s="313">
        <f t="shared" si="172"/>
        <v>0</v>
      </c>
      <c r="AK89" s="311">
        <f t="shared" ref="AK89:AL89" si="248">(AK8*AK38)/12/21/7.5</f>
        <v>0</v>
      </c>
      <c r="AL89" s="312">
        <f t="shared" si="248"/>
        <v>0</v>
      </c>
      <c r="AM89" s="313">
        <f t="shared" si="173"/>
        <v>0</v>
      </c>
      <c r="AN89" s="311">
        <f t="shared" ref="AN89:AO89" si="249">(AN8*AN38)/12/21/7.5</f>
        <v>0</v>
      </c>
      <c r="AO89" s="312">
        <f t="shared" si="249"/>
        <v>0</v>
      </c>
      <c r="AP89" s="313">
        <f t="shared" si="174"/>
        <v>0</v>
      </c>
      <c r="AQ89" s="311">
        <f t="shared" ref="AQ89:AR89" si="250">(AQ8*AQ38)/12/21/7.5</f>
        <v>0</v>
      </c>
      <c r="AR89" s="312">
        <f t="shared" si="250"/>
        <v>0</v>
      </c>
      <c r="AS89" s="313">
        <f t="shared" si="175"/>
        <v>0</v>
      </c>
      <c r="AT89" s="311">
        <f t="shared" ref="AT89:AU89" si="251">(AT8*AT38)/12/21/7.5</f>
        <v>0</v>
      </c>
      <c r="AU89" s="312">
        <f t="shared" si="251"/>
        <v>0</v>
      </c>
      <c r="AV89" s="313">
        <f t="shared" si="176"/>
        <v>0</v>
      </c>
      <c r="AW89" s="311">
        <f t="shared" ref="AW89:AX89" si="252">(AW8*AW38)/12/21/7.5</f>
        <v>0</v>
      </c>
      <c r="AX89" s="312">
        <f t="shared" si="252"/>
        <v>0</v>
      </c>
      <c r="AY89" s="313">
        <f t="shared" si="177"/>
        <v>0</v>
      </c>
      <c r="AZ89" s="311">
        <f t="shared" ref="AZ89:BA89" si="253">(AZ8*AZ38)/12/21/7.5</f>
        <v>0</v>
      </c>
      <c r="BA89" s="312">
        <f t="shared" si="253"/>
        <v>0</v>
      </c>
      <c r="BB89" s="313">
        <f t="shared" si="178"/>
        <v>0</v>
      </c>
      <c r="BC89" s="311">
        <f t="shared" ref="BC89:BD89" si="254">(BC8*BC38)/12/21/7.5</f>
        <v>0</v>
      </c>
      <c r="BD89" s="312">
        <f t="shared" si="254"/>
        <v>0</v>
      </c>
      <c r="BE89" s="313">
        <f t="shared" si="179"/>
        <v>0</v>
      </c>
      <c r="BF89" s="311">
        <f t="shared" ref="BF89:BG89" si="255">(BF8*BF38)/12/21/7.5</f>
        <v>0</v>
      </c>
      <c r="BG89" s="312">
        <f t="shared" si="255"/>
        <v>0</v>
      </c>
      <c r="BH89" s="313">
        <f t="shared" si="180"/>
        <v>0</v>
      </c>
      <c r="BI89" s="311">
        <f t="shared" si="202"/>
        <v>0</v>
      </c>
      <c r="BJ89" s="312">
        <f t="shared" si="202"/>
        <v>0</v>
      </c>
      <c r="BK89" s="313">
        <f t="shared" si="181"/>
        <v>0</v>
      </c>
      <c r="BL89" s="311">
        <f t="shared" si="203"/>
        <v>0</v>
      </c>
      <c r="BM89" s="312">
        <f t="shared" si="203"/>
        <v>0</v>
      </c>
      <c r="BN89" s="313">
        <f t="shared" si="182"/>
        <v>0</v>
      </c>
      <c r="BO89" s="311">
        <f t="shared" si="204"/>
        <v>0</v>
      </c>
      <c r="BP89" s="312">
        <f t="shared" si="204"/>
        <v>0</v>
      </c>
      <c r="BQ89" s="313">
        <f t="shared" si="183"/>
        <v>0</v>
      </c>
    </row>
    <row r="90" spans="1:69">
      <c r="A90" s="787"/>
      <c r="B90" s="789"/>
      <c r="C90" s="290" t="s">
        <v>29</v>
      </c>
      <c r="D90" s="291">
        <f t="shared" si="160"/>
        <v>253.96825396825398</v>
      </c>
      <c r="E90" s="292">
        <f t="shared" si="161"/>
        <v>138.88888888888886</v>
      </c>
      <c r="F90" s="293">
        <f t="shared" si="162"/>
        <v>-115.0793650793651</v>
      </c>
      <c r="G90" s="311">
        <f t="shared" si="184"/>
        <v>15.873015873015873</v>
      </c>
      <c r="H90" s="312">
        <f t="shared" si="184"/>
        <v>7.9365079365079367</v>
      </c>
      <c r="I90" s="313">
        <f t="shared" si="163"/>
        <v>-7.9365079365079367</v>
      </c>
      <c r="J90" s="311">
        <f t="shared" ref="J90:K90" si="256">(J9*J39)/12/21/7.5</f>
        <v>238.0952380952381</v>
      </c>
      <c r="K90" s="312">
        <f t="shared" si="256"/>
        <v>130.95238095238093</v>
      </c>
      <c r="L90" s="313">
        <f t="shared" si="164"/>
        <v>-107.14285714285717</v>
      </c>
      <c r="M90" s="311">
        <f t="shared" ref="M90:N90" si="257">(M9*M39)/12/21/7.5</f>
        <v>0</v>
      </c>
      <c r="N90" s="312">
        <f t="shared" si="257"/>
        <v>0</v>
      </c>
      <c r="O90" s="313">
        <f t="shared" si="165"/>
        <v>0</v>
      </c>
      <c r="P90" s="311">
        <f t="shared" ref="P90:Q90" si="258">(P9*P39)/12/21/7.5</f>
        <v>0</v>
      </c>
      <c r="Q90" s="312">
        <f t="shared" si="258"/>
        <v>0</v>
      </c>
      <c r="R90" s="313">
        <f t="shared" si="166"/>
        <v>0</v>
      </c>
      <c r="S90" s="311">
        <f t="shared" ref="S90:T90" si="259">(S9*S39)/12/21/7.5</f>
        <v>0</v>
      </c>
      <c r="T90" s="312">
        <f t="shared" si="259"/>
        <v>0</v>
      </c>
      <c r="U90" s="313">
        <f t="shared" si="167"/>
        <v>0</v>
      </c>
      <c r="V90" s="311">
        <f t="shared" ref="V90:W90" si="260">(V9*V39)/12/21/7.5</f>
        <v>0</v>
      </c>
      <c r="W90" s="312">
        <f t="shared" si="260"/>
        <v>0</v>
      </c>
      <c r="X90" s="313">
        <f t="shared" si="168"/>
        <v>0</v>
      </c>
      <c r="Y90" s="311">
        <f t="shared" ref="Y90:Z90" si="261">(Y9*Y39)/12/21/7.5</f>
        <v>0</v>
      </c>
      <c r="Z90" s="312">
        <f t="shared" si="261"/>
        <v>0</v>
      </c>
      <c r="AA90" s="313">
        <f t="shared" si="169"/>
        <v>0</v>
      </c>
      <c r="AB90" s="311">
        <f t="shared" ref="AB90:AC90" si="262">(AB9*AB39)/12/21/7.5</f>
        <v>0</v>
      </c>
      <c r="AC90" s="312">
        <f t="shared" si="262"/>
        <v>0</v>
      </c>
      <c r="AD90" s="313">
        <f t="shared" si="170"/>
        <v>0</v>
      </c>
      <c r="AE90" s="311">
        <f t="shared" ref="AE90:AF90" si="263">(AE9*AE39)/12/21/7.5</f>
        <v>0</v>
      </c>
      <c r="AF90" s="312">
        <f t="shared" si="263"/>
        <v>0</v>
      </c>
      <c r="AG90" s="313">
        <f t="shared" si="171"/>
        <v>0</v>
      </c>
      <c r="AH90" s="311">
        <f t="shared" ref="AH90:AI90" si="264">(AH9*AH39)/12/21/7.5</f>
        <v>0</v>
      </c>
      <c r="AI90" s="312">
        <f t="shared" si="264"/>
        <v>0</v>
      </c>
      <c r="AJ90" s="313">
        <f t="shared" si="172"/>
        <v>0</v>
      </c>
      <c r="AK90" s="311">
        <f t="shared" ref="AK90:AL90" si="265">(AK9*AK39)/12/21/7.5</f>
        <v>0</v>
      </c>
      <c r="AL90" s="312">
        <f t="shared" si="265"/>
        <v>0</v>
      </c>
      <c r="AM90" s="313">
        <f t="shared" si="173"/>
        <v>0</v>
      </c>
      <c r="AN90" s="311">
        <f t="shared" ref="AN90:AO90" si="266">(AN9*AN39)/12/21/7.5</f>
        <v>0</v>
      </c>
      <c r="AO90" s="312">
        <f t="shared" si="266"/>
        <v>0</v>
      </c>
      <c r="AP90" s="313">
        <f t="shared" si="174"/>
        <v>0</v>
      </c>
      <c r="AQ90" s="311">
        <f t="shared" ref="AQ90:AR90" si="267">(AQ9*AQ39)/12/21/7.5</f>
        <v>0</v>
      </c>
      <c r="AR90" s="312">
        <f t="shared" si="267"/>
        <v>0</v>
      </c>
      <c r="AS90" s="313">
        <f t="shared" si="175"/>
        <v>0</v>
      </c>
      <c r="AT90" s="311">
        <f t="shared" ref="AT90:AU90" si="268">(AT9*AT39)/12/21/7.5</f>
        <v>0</v>
      </c>
      <c r="AU90" s="312">
        <f t="shared" si="268"/>
        <v>0</v>
      </c>
      <c r="AV90" s="313">
        <f t="shared" si="176"/>
        <v>0</v>
      </c>
      <c r="AW90" s="311">
        <f t="shared" ref="AW90:AX90" si="269">(AW9*AW39)/12/21/7.5</f>
        <v>0</v>
      </c>
      <c r="AX90" s="312">
        <f t="shared" si="269"/>
        <v>0</v>
      </c>
      <c r="AY90" s="313">
        <f t="shared" si="177"/>
        <v>0</v>
      </c>
      <c r="AZ90" s="311">
        <f t="shared" ref="AZ90:BA90" si="270">(AZ9*AZ39)/12/21/7.5</f>
        <v>0</v>
      </c>
      <c r="BA90" s="312">
        <f t="shared" si="270"/>
        <v>0</v>
      </c>
      <c r="BB90" s="313">
        <f t="shared" si="178"/>
        <v>0</v>
      </c>
      <c r="BC90" s="311">
        <f t="shared" ref="BC90:BD90" si="271">(BC9*BC39)/12/21/7.5</f>
        <v>0</v>
      </c>
      <c r="BD90" s="312">
        <f t="shared" si="271"/>
        <v>0</v>
      </c>
      <c r="BE90" s="313">
        <f t="shared" si="179"/>
        <v>0</v>
      </c>
      <c r="BF90" s="311">
        <f t="shared" ref="BF90:BG90" si="272">(BF9*BF39)/12/21/7.5</f>
        <v>0</v>
      </c>
      <c r="BG90" s="312">
        <f t="shared" si="272"/>
        <v>0</v>
      </c>
      <c r="BH90" s="313">
        <f t="shared" si="180"/>
        <v>0</v>
      </c>
      <c r="BI90" s="311">
        <f t="shared" si="202"/>
        <v>0</v>
      </c>
      <c r="BJ90" s="312">
        <f t="shared" si="202"/>
        <v>0</v>
      </c>
      <c r="BK90" s="313">
        <f t="shared" si="181"/>
        <v>0</v>
      </c>
      <c r="BL90" s="311">
        <f t="shared" si="203"/>
        <v>0</v>
      </c>
      <c r="BM90" s="312">
        <f t="shared" si="203"/>
        <v>0</v>
      </c>
      <c r="BN90" s="313">
        <f t="shared" si="182"/>
        <v>0</v>
      </c>
      <c r="BO90" s="311">
        <f t="shared" si="204"/>
        <v>0</v>
      </c>
      <c r="BP90" s="312">
        <f t="shared" si="204"/>
        <v>0</v>
      </c>
      <c r="BQ90" s="313">
        <f t="shared" si="183"/>
        <v>0</v>
      </c>
    </row>
    <row r="91" spans="1:69">
      <c r="A91" s="787"/>
      <c r="B91" s="789"/>
      <c r="C91" s="290" t="s">
        <v>30</v>
      </c>
      <c r="D91" s="291">
        <f t="shared" si="160"/>
        <v>253.96825396825398</v>
      </c>
      <c r="E91" s="292">
        <f t="shared" si="161"/>
        <v>138.88888888888886</v>
      </c>
      <c r="F91" s="293">
        <f t="shared" si="162"/>
        <v>-115.0793650793651</v>
      </c>
      <c r="G91" s="311">
        <f t="shared" si="184"/>
        <v>15.873015873015873</v>
      </c>
      <c r="H91" s="312">
        <f t="shared" si="184"/>
        <v>7.9365079365079367</v>
      </c>
      <c r="I91" s="313">
        <f t="shared" si="163"/>
        <v>-7.9365079365079367</v>
      </c>
      <c r="J91" s="311">
        <f t="shared" ref="J91:K91" si="273">(J10*J40)/12/21/7.5</f>
        <v>238.0952380952381</v>
      </c>
      <c r="K91" s="312">
        <f t="shared" si="273"/>
        <v>130.95238095238093</v>
      </c>
      <c r="L91" s="313">
        <f t="shared" si="164"/>
        <v>-107.14285714285717</v>
      </c>
      <c r="M91" s="311">
        <f t="shared" ref="M91:N91" si="274">(M10*M40)/12/21/7.5</f>
        <v>0</v>
      </c>
      <c r="N91" s="312">
        <f t="shared" si="274"/>
        <v>0</v>
      </c>
      <c r="O91" s="313">
        <f t="shared" si="165"/>
        <v>0</v>
      </c>
      <c r="P91" s="311">
        <f t="shared" ref="P91:Q91" si="275">(P10*P40)/12/21/7.5</f>
        <v>0</v>
      </c>
      <c r="Q91" s="312">
        <f t="shared" si="275"/>
        <v>0</v>
      </c>
      <c r="R91" s="313">
        <f t="shared" si="166"/>
        <v>0</v>
      </c>
      <c r="S91" s="311">
        <f t="shared" ref="S91:T91" si="276">(S10*S40)/12/21/7.5</f>
        <v>0</v>
      </c>
      <c r="T91" s="312">
        <f t="shared" si="276"/>
        <v>0</v>
      </c>
      <c r="U91" s="313">
        <f t="shared" si="167"/>
        <v>0</v>
      </c>
      <c r="V91" s="311">
        <f t="shared" ref="V91:W91" si="277">(V10*V40)/12/21/7.5</f>
        <v>0</v>
      </c>
      <c r="W91" s="312">
        <f t="shared" si="277"/>
        <v>0</v>
      </c>
      <c r="X91" s="313">
        <f t="shared" si="168"/>
        <v>0</v>
      </c>
      <c r="Y91" s="311">
        <f t="shared" ref="Y91:Z91" si="278">(Y10*Y40)/12/21/7.5</f>
        <v>0</v>
      </c>
      <c r="Z91" s="312">
        <f t="shared" si="278"/>
        <v>0</v>
      </c>
      <c r="AA91" s="313">
        <f t="shared" si="169"/>
        <v>0</v>
      </c>
      <c r="AB91" s="311">
        <f t="shared" ref="AB91:AC91" si="279">(AB10*AB40)/12/21/7.5</f>
        <v>0</v>
      </c>
      <c r="AC91" s="312">
        <f t="shared" si="279"/>
        <v>0</v>
      </c>
      <c r="AD91" s="313">
        <f t="shared" si="170"/>
        <v>0</v>
      </c>
      <c r="AE91" s="311">
        <f t="shared" ref="AE91:AF91" si="280">(AE10*AE40)/12/21/7.5</f>
        <v>0</v>
      </c>
      <c r="AF91" s="312">
        <f t="shared" si="280"/>
        <v>0</v>
      </c>
      <c r="AG91" s="313">
        <f t="shared" si="171"/>
        <v>0</v>
      </c>
      <c r="AH91" s="311">
        <f t="shared" ref="AH91:AI91" si="281">(AH10*AH40)/12/21/7.5</f>
        <v>0</v>
      </c>
      <c r="AI91" s="312">
        <f t="shared" si="281"/>
        <v>0</v>
      </c>
      <c r="AJ91" s="313">
        <f t="shared" si="172"/>
        <v>0</v>
      </c>
      <c r="AK91" s="311">
        <f t="shared" ref="AK91:AL91" si="282">(AK10*AK40)/12/21/7.5</f>
        <v>0</v>
      </c>
      <c r="AL91" s="312">
        <f t="shared" si="282"/>
        <v>0</v>
      </c>
      <c r="AM91" s="313">
        <f t="shared" si="173"/>
        <v>0</v>
      </c>
      <c r="AN91" s="311">
        <f t="shared" ref="AN91:AO91" si="283">(AN10*AN40)/12/21/7.5</f>
        <v>0</v>
      </c>
      <c r="AO91" s="312">
        <f t="shared" si="283"/>
        <v>0</v>
      </c>
      <c r="AP91" s="313">
        <f t="shared" si="174"/>
        <v>0</v>
      </c>
      <c r="AQ91" s="311">
        <f t="shared" ref="AQ91:AR91" si="284">(AQ10*AQ40)/12/21/7.5</f>
        <v>0</v>
      </c>
      <c r="AR91" s="312">
        <f t="shared" si="284"/>
        <v>0</v>
      </c>
      <c r="AS91" s="313">
        <f t="shared" si="175"/>
        <v>0</v>
      </c>
      <c r="AT91" s="311">
        <f t="shared" ref="AT91:AU91" si="285">(AT10*AT40)/12/21/7.5</f>
        <v>0</v>
      </c>
      <c r="AU91" s="312">
        <f t="shared" si="285"/>
        <v>0</v>
      </c>
      <c r="AV91" s="313">
        <f t="shared" si="176"/>
        <v>0</v>
      </c>
      <c r="AW91" s="311">
        <f t="shared" ref="AW91:AX91" si="286">(AW10*AW40)/12/21/7.5</f>
        <v>0</v>
      </c>
      <c r="AX91" s="312">
        <f t="shared" si="286"/>
        <v>0</v>
      </c>
      <c r="AY91" s="313">
        <f t="shared" si="177"/>
        <v>0</v>
      </c>
      <c r="AZ91" s="311">
        <f t="shared" ref="AZ91:BA91" si="287">(AZ10*AZ40)/12/21/7.5</f>
        <v>0</v>
      </c>
      <c r="BA91" s="312">
        <f t="shared" si="287"/>
        <v>0</v>
      </c>
      <c r="BB91" s="313">
        <f t="shared" si="178"/>
        <v>0</v>
      </c>
      <c r="BC91" s="311">
        <f t="shared" ref="BC91:BD91" si="288">(BC10*BC40)/12/21/7.5</f>
        <v>0</v>
      </c>
      <c r="BD91" s="312">
        <f t="shared" si="288"/>
        <v>0</v>
      </c>
      <c r="BE91" s="313">
        <f t="shared" si="179"/>
        <v>0</v>
      </c>
      <c r="BF91" s="311">
        <f t="shared" ref="BF91:BG91" si="289">(BF10*BF40)/12/21/7.5</f>
        <v>0</v>
      </c>
      <c r="BG91" s="312">
        <f t="shared" si="289"/>
        <v>0</v>
      </c>
      <c r="BH91" s="313">
        <f t="shared" si="180"/>
        <v>0</v>
      </c>
      <c r="BI91" s="311">
        <f t="shared" si="202"/>
        <v>0</v>
      </c>
      <c r="BJ91" s="312">
        <f t="shared" si="202"/>
        <v>0</v>
      </c>
      <c r="BK91" s="313">
        <f t="shared" si="181"/>
        <v>0</v>
      </c>
      <c r="BL91" s="311">
        <f t="shared" si="203"/>
        <v>0</v>
      </c>
      <c r="BM91" s="312">
        <f t="shared" si="203"/>
        <v>0</v>
      </c>
      <c r="BN91" s="313">
        <f t="shared" si="182"/>
        <v>0</v>
      </c>
      <c r="BO91" s="311">
        <f t="shared" si="204"/>
        <v>0</v>
      </c>
      <c r="BP91" s="312">
        <f t="shared" si="204"/>
        <v>0</v>
      </c>
      <c r="BQ91" s="313">
        <f t="shared" si="183"/>
        <v>0</v>
      </c>
    </row>
    <row r="92" spans="1:69">
      <c r="A92" s="787"/>
      <c r="B92" s="789"/>
      <c r="C92" s="290" t="s">
        <v>31</v>
      </c>
      <c r="D92" s="291">
        <f t="shared" si="160"/>
        <v>253.96825396825398</v>
      </c>
      <c r="E92" s="292">
        <f t="shared" si="161"/>
        <v>138.88888888888886</v>
      </c>
      <c r="F92" s="293">
        <f t="shared" si="162"/>
        <v>-115.0793650793651</v>
      </c>
      <c r="G92" s="311">
        <f t="shared" si="184"/>
        <v>15.873015873015873</v>
      </c>
      <c r="H92" s="312">
        <f t="shared" si="184"/>
        <v>7.9365079365079367</v>
      </c>
      <c r="I92" s="313">
        <f t="shared" si="163"/>
        <v>-7.9365079365079367</v>
      </c>
      <c r="J92" s="311">
        <f t="shared" ref="J92:K92" si="290">(J11*J41)/12/21/7.5</f>
        <v>238.0952380952381</v>
      </c>
      <c r="K92" s="312">
        <f t="shared" si="290"/>
        <v>130.95238095238093</v>
      </c>
      <c r="L92" s="313">
        <f t="shared" si="164"/>
        <v>-107.14285714285717</v>
      </c>
      <c r="M92" s="311">
        <f t="shared" ref="M92:N92" si="291">(M11*M41)/12/21/7.5</f>
        <v>0</v>
      </c>
      <c r="N92" s="312">
        <f t="shared" si="291"/>
        <v>0</v>
      </c>
      <c r="O92" s="313">
        <f t="shared" si="165"/>
        <v>0</v>
      </c>
      <c r="P92" s="311">
        <f t="shared" ref="P92:Q92" si="292">(P11*P41)/12/21/7.5</f>
        <v>0</v>
      </c>
      <c r="Q92" s="312">
        <f t="shared" si="292"/>
        <v>0</v>
      </c>
      <c r="R92" s="313">
        <f t="shared" si="166"/>
        <v>0</v>
      </c>
      <c r="S92" s="311">
        <f t="shared" ref="S92:T92" si="293">(S11*S41)/12/21/7.5</f>
        <v>0</v>
      </c>
      <c r="T92" s="312">
        <f t="shared" si="293"/>
        <v>0</v>
      </c>
      <c r="U92" s="313">
        <f t="shared" si="167"/>
        <v>0</v>
      </c>
      <c r="V92" s="311">
        <f t="shared" ref="V92:W92" si="294">(V11*V41)/12/21/7.5</f>
        <v>0</v>
      </c>
      <c r="W92" s="312">
        <f t="shared" si="294"/>
        <v>0</v>
      </c>
      <c r="X92" s="313">
        <f t="shared" si="168"/>
        <v>0</v>
      </c>
      <c r="Y92" s="311">
        <f t="shared" ref="Y92:Z92" si="295">(Y11*Y41)/12/21/7.5</f>
        <v>0</v>
      </c>
      <c r="Z92" s="312">
        <f t="shared" si="295"/>
        <v>0</v>
      </c>
      <c r="AA92" s="313">
        <f t="shared" si="169"/>
        <v>0</v>
      </c>
      <c r="AB92" s="311">
        <f t="shared" ref="AB92:AC92" si="296">(AB11*AB41)/12/21/7.5</f>
        <v>0</v>
      </c>
      <c r="AC92" s="312">
        <f t="shared" si="296"/>
        <v>0</v>
      </c>
      <c r="AD92" s="313">
        <f t="shared" si="170"/>
        <v>0</v>
      </c>
      <c r="AE92" s="311">
        <f t="shared" ref="AE92:AF92" si="297">(AE11*AE41)/12/21/7.5</f>
        <v>0</v>
      </c>
      <c r="AF92" s="312">
        <f t="shared" si="297"/>
        <v>0</v>
      </c>
      <c r="AG92" s="313">
        <f t="shared" si="171"/>
        <v>0</v>
      </c>
      <c r="AH92" s="311">
        <f t="shared" ref="AH92:AI92" si="298">(AH11*AH41)/12/21/7.5</f>
        <v>0</v>
      </c>
      <c r="AI92" s="312">
        <f t="shared" si="298"/>
        <v>0</v>
      </c>
      <c r="AJ92" s="313">
        <f t="shared" si="172"/>
        <v>0</v>
      </c>
      <c r="AK92" s="311">
        <f t="shared" ref="AK92:AL92" si="299">(AK11*AK41)/12/21/7.5</f>
        <v>0</v>
      </c>
      <c r="AL92" s="312">
        <f t="shared" si="299"/>
        <v>0</v>
      </c>
      <c r="AM92" s="313">
        <f t="shared" si="173"/>
        <v>0</v>
      </c>
      <c r="AN92" s="311">
        <f t="shared" ref="AN92:AO92" si="300">(AN11*AN41)/12/21/7.5</f>
        <v>0</v>
      </c>
      <c r="AO92" s="312">
        <f t="shared" si="300"/>
        <v>0</v>
      </c>
      <c r="AP92" s="313">
        <f t="shared" si="174"/>
        <v>0</v>
      </c>
      <c r="AQ92" s="311">
        <f t="shared" ref="AQ92:AR92" si="301">(AQ11*AQ41)/12/21/7.5</f>
        <v>0</v>
      </c>
      <c r="AR92" s="312">
        <f t="shared" si="301"/>
        <v>0</v>
      </c>
      <c r="AS92" s="313">
        <f t="shared" si="175"/>
        <v>0</v>
      </c>
      <c r="AT92" s="311">
        <f t="shared" ref="AT92:AU92" si="302">(AT11*AT41)/12/21/7.5</f>
        <v>0</v>
      </c>
      <c r="AU92" s="312">
        <f t="shared" si="302"/>
        <v>0</v>
      </c>
      <c r="AV92" s="313">
        <f t="shared" si="176"/>
        <v>0</v>
      </c>
      <c r="AW92" s="311">
        <f t="shared" ref="AW92:AX92" si="303">(AW11*AW41)/12/21/7.5</f>
        <v>0</v>
      </c>
      <c r="AX92" s="312">
        <f t="shared" si="303"/>
        <v>0</v>
      </c>
      <c r="AY92" s="313">
        <f t="shared" si="177"/>
        <v>0</v>
      </c>
      <c r="AZ92" s="311">
        <f t="shared" ref="AZ92:BA92" si="304">(AZ11*AZ41)/12/21/7.5</f>
        <v>0</v>
      </c>
      <c r="BA92" s="312">
        <f t="shared" si="304"/>
        <v>0</v>
      </c>
      <c r="BB92" s="313">
        <f t="shared" si="178"/>
        <v>0</v>
      </c>
      <c r="BC92" s="311">
        <f t="shared" ref="BC92:BD92" si="305">(BC11*BC41)/12/21/7.5</f>
        <v>0</v>
      </c>
      <c r="BD92" s="312">
        <f t="shared" si="305"/>
        <v>0</v>
      </c>
      <c r="BE92" s="313">
        <f t="shared" si="179"/>
        <v>0</v>
      </c>
      <c r="BF92" s="311">
        <f t="shared" ref="BF92:BG92" si="306">(BF11*BF41)/12/21/7.5</f>
        <v>0</v>
      </c>
      <c r="BG92" s="312">
        <f t="shared" si="306"/>
        <v>0</v>
      </c>
      <c r="BH92" s="313">
        <f t="shared" si="180"/>
        <v>0</v>
      </c>
      <c r="BI92" s="311">
        <f t="shared" si="202"/>
        <v>0</v>
      </c>
      <c r="BJ92" s="312">
        <f t="shared" si="202"/>
        <v>0</v>
      </c>
      <c r="BK92" s="313">
        <f t="shared" si="181"/>
        <v>0</v>
      </c>
      <c r="BL92" s="311">
        <f t="shared" si="203"/>
        <v>0</v>
      </c>
      <c r="BM92" s="312">
        <f t="shared" si="203"/>
        <v>0</v>
      </c>
      <c r="BN92" s="313">
        <f t="shared" si="182"/>
        <v>0</v>
      </c>
      <c r="BO92" s="311">
        <f t="shared" si="204"/>
        <v>0</v>
      </c>
      <c r="BP92" s="312">
        <f t="shared" si="204"/>
        <v>0</v>
      </c>
      <c r="BQ92" s="313">
        <f t="shared" si="183"/>
        <v>0</v>
      </c>
    </row>
    <row r="93" spans="1:69">
      <c r="A93" s="787"/>
      <c r="B93" s="789"/>
      <c r="C93" s="290" t="s">
        <v>32</v>
      </c>
      <c r="D93" s="291">
        <f t="shared" si="160"/>
        <v>253.96825396825398</v>
      </c>
      <c r="E93" s="292">
        <f t="shared" si="161"/>
        <v>138.88888888888886</v>
      </c>
      <c r="F93" s="293">
        <f t="shared" si="162"/>
        <v>-115.0793650793651</v>
      </c>
      <c r="G93" s="311">
        <f t="shared" si="184"/>
        <v>15.873015873015873</v>
      </c>
      <c r="H93" s="312">
        <f t="shared" si="184"/>
        <v>7.9365079365079367</v>
      </c>
      <c r="I93" s="313">
        <f t="shared" si="163"/>
        <v>-7.9365079365079367</v>
      </c>
      <c r="J93" s="311">
        <f t="shared" ref="J93:K93" si="307">(J12*J42)/12/21/7.5</f>
        <v>238.0952380952381</v>
      </c>
      <c r="K93" s="312">
        <f t="shared" si="307"/>
        <v>130.95238095238093</v>
      </c>
      <c r="L93" s="313">
        <f t="shared" si="164"/>
        <v>-107.14285714285717</v>
      </c>
      <c r="M93" s="311">
        <f t="shared" ref="M93:N93" si="308">(M12*M42)/12/21/7.5</f>
        <v>0</v>
      </c>
      <c r="N93" s="312">
        <f t="shared" si="308"/>
        <v>0</v>
      </c>
      <c r="O93" s="313">
        <f t="shared" si="165"/>
        <v>0</v>
      </c>
      <c r="P93" s="311">
        <f t="shared" ref="P93:Q93" si="309">(P12*P42)/12/21/7.5</f>
        <v>0</v>
      </c>
      <c r="Q93" s="312">
        <f t="shared" si="309"/>
        <v>0</v>
      </c>
      <c r="R93" s="313">
        <f t="shared" si="166"/>
        <v>0</v>
      </c>
      <c r="S93" s="311">
        <f t="shared" ref="S93:T93" si="310">(S12*S42)/12/21/7.5</f>
        <v>0</v>
      </c>
      <c r="T93" s="312">
        <f t="shared" si="310"/>
        <v>0</v>
      </c>
      <c r="U93" s="313">
        <f t="shared" si="167"/>
        <v>0</v>
      </c>
      <c r="V93" s="311">
        <f t="shared" ref="V93:W93" si="311">(V12*V42)/12/21/7.5</f>
        <v>0</v>
      </c>
      <c r="W93" s="312">
        <f t="shared" si="311"/>
        <v>0</v>
      </c>
      <c r="X93" s="313">
        <f t="shared" si="168"/>
        <v>0</v>
      </c>
      <c r="Y93" s="311">
        <f t="shared" ref="Y93:Z93" si="312">(Y12*Y42)/12/21/7.5</f>
        <v>0</v>
      </c>
      <c r="Z93" s="312">
        <f t="shared" si="312"/>
        <v>0</v>
      </c>
      <c r="AA93" s="313">
        <f t="shared" si="169"/>
        <v>0</v>
      </c>
      <c r="AB93" s="311">
        <f t="shared" ref="AB93:AC93" si="313">(AB12*AB42)/12/21/7.5</f>
        <v>0</v>
      </c>
      <c r="AC93" s="312">
        <f t="shared" si="313"/>
        <v>0</v>
      </c>
      <c r="AD93" s="313">
        <f t="shared" si="170"/>
        <v>0</v>
      </c>
      <c r="AE93" s="311">
        <f t="shared" ref="AE93:AF93" si="314">(AE12*AE42)/12/21/7.5</f>
        <v>0</v>
      </c>
      <c r="AF93" s="312">
        <f t="shared" si="314"/>
        <v>0</v>
      </c>
      <c r="AG93" s="313">
        <f t="shared" si="171"/>
        <v>0</v>
      </c>
      <c r="AH93" s="311">
        <f t="shared" ref="AH93:AI93" si="315">(AH12*AH42)/12/21/7.5</f>
        <v>0</v>
      </c>
      <c r="AI93" s="312">
        <f t="shared" si="315"/>
        <v>0</v>
      </c>
      <c r="AJ93" s="313">
        <f t="shared" si="172"/>
        <v>0</v>
      </c>
      <c r="AK93" s="311">
        <f t="shared" ref="AK93:AL93" si="316">(AK12*AK42)/12/21/7.5</f>
        <v>0</v>
      </c>
      <c r="AL93" s="312">
        <f t="shared" si="316"/>
        <v>0</v>
      </c>
      <c r="AM93" s="313">
        <f t="shared" si="173"/>
        <v>0</v>
      </c>
      <c r="AN93" s="311">
        <f t="shared" ref="AN93:AO93" si="317">(AN12*AN42)/12/21/7.5</f>
        <v>0</v>
      </c>
      <c r="AO93" s="312">
        <f t="shared" si="317"/>
        <v>0</v>
      </c>
      <c r="AP93" s="313">
        <f t="shared" si="174"/>
        <v>0</v>
      </c>
      <c r="AQ93" s="311">
        <f t="shared" ref="AQ93:AR93" si="318">(AQ12*AQ42)/12/21/7.5</f>
        <v>0</v>
      </c>
      <c r="AR93" s="312">
        <f t="shared" si="318"/>
        <v>0</v>
      </c>
      <c r="AS93" s="313">
        <f t="shared" si="175"/>
        <v>0</v>
      </c>
      <c r="AT93" s="311">
        <f t="shared" ref="AT93:AU93" si="319">(AT12*AT42)/12/21/7.5</f>
        <v>0</v>
      </c>
      <c r="AU93" s="312">
        <f t="shared" si="319"/>
        <v>0</v>
      </c>
      <c r="AV93" s="313">
        <f t="shared" si="176"/>
        <v>0</v>
      </c>
      <c r="AW93" s="311">
        <f t="shared" ref="AW93:AX93" si="320">(AW12*AW42)/12/21/7.5</f>
        <v>0</v>
      </c>
      <c r="AX93" s="312">
        <f t="shared" si="320"/>
        <v>0</v>
      </c>
      <c r="AY93" s="313">
        <f t="shared" si="177"/>
        <v>0</v>
      </c>
      <c r="AZ93" s="311">
        <f t="shared" ref="AZ93:BA93" si="321">(AZ12*AZ42)/12/21/7.5</f>
        <v>0</v>
      </c>
      <c r="BA93" s="312">
        <f t="shared" si="321"/>
        <v>0</v>
      </c>
      <c r="BB93" s="313">
        <f t="shared" si="178"/>
        <v>0</v>
      </c>
      <c r="BC93" s="311">
        <f t="shared" ref="BC93:BD93" si="322">(BC12*BC42)/12/21/7.5</f>
        <v>0</v>
      </c>
      <c r="BD93" s="312">
        <f t="shared" si="322"/>
        <v>0</v>
      </c>
      <c r="BE93" s="313">
        <f t="shared" si="179"/>
        <v>0</v>
      </c>
      <c r="BF93" s="311">
        <f t="shared" ref="BF93:BG93" si="323">(BF12*BF42)/12/21/7.5</f>
        <v>0</v>
      </c>
      <c r="BG93" s="312">
        <f t="shared" si="323"/>
        <v>0</v>
      </c>
      <c r="BH93" s="313">
        <f t="shared" si="180"/>
        <v>0</v>
      </c>
      <c r="BI93" s="311">
        <f t="shared" si="202"/>
        <v>0</v>
      </c>
      <c r="BJ93" s="312">
        <f t="shared" si="202"/>
        <v>0</v>
      </c>
      <c r="BK93" s="313">
        <f t="shared" si="181"/>
        <v>0</v>
      </c>
      <c r="BL93" s="311">
        <f t="shared" si="203"/>
        <v>0</v>
      </c>
      <c r="BM93" s="312">
        <f t="shared" si="203"/>
        <v>0</v>
      </c>
      <c r="BN93" s="313">
        <f t="shared" si="182"/>
        <v>0</v>
      </c>
      <c r="BO93" s="311">
        <f t="shared" si="204"/>
        <v>0</v>
      </c>
      <c r="BP93" s="312">
        <f t="shared" si="204"/>
        <v>0</v>
      </c>
      <c r="BQ93" s="313">
        <f t="shared" si="183"/>
        <v>0</v>
      </c>
    </row>
    <row r="94" spans="1:69">
      <c r="A94" s="787"/>
      <c r="B94" s="789"/>
      <c r="C94" s="290" t="s">
        <v>33</v>
      </c>
      <c r="D94" s="291">
        <f t="shared" si="160"/>
        <v>253.96825396825398</v>
      </c>
      <c r="E94" s="292">
        <f t="shared" si="161"/>
        <v>138.88888888888886</v>
      </c>
      <c r="F94" s="293">
        <f t="shared" si="162"/>
        <v>-115.0793650793651</v>
      </c>
      <c r="G94" s="311">
        <f t="shared" si="184"/>
        <v>15.873015873015873</v>
      </c>
      <c r="H94" s="312">
        <f t="shared" si="184"/>
        <v>7.9365079365079367</v>
      </c>
      <c r="I94" s="313">
        <f t="shared" si="163"/>
        <v>-7.9365079365079367</v>
      </c>
      <c r="J94" s="311">
        <f t="shared" ref="J94:K94" si="324">(J13*J43)/12/21/7.5</f>
        <v>238.0952380952381</v>
      </c>
      <c r="K94" s="312">
        <f t="shared" si="324"/>
        <v>130.95238095238093</v>
      </c>
      <c r="L94" s="313">
        <f t="shared" si="164"/>
        <v>-107.14285714285717</v>
      </c>
      <c r="M94" s="311">
        <f t="shared" ref="M94:N94" si="325">(M13*M43)/12/21/7.5</f>
        <v>0</v>
      </c>
      <c r="N94" s="312">
        <f t="shared" si="325"/>
        <v>0</v>
      </c>
      <c r="O94" s="313">
        <f t="shared" si="165"/>
        <v>0</v>
      </c>
      <c r="P94" s="311">
        <f t="shared" ref="P94:Q94" si="326">(P13*P43)/12/21/7.5</f>
        <v>0</v>
      </c>
      <c r="Q94" s="312">
        <f t="shared" si="326"/>
        <v>0</v>
      </c>
      <c r="R94" s="313">
        <f t="shared" si="166"/>
        <v>0</v>
      </c>
      <c r="S94" s="311">
        <f t="shared" ref="S94:T94" si="327">(S13*S43)/12/21/7.5</f>
        <v>0</v>
      </c>
      <c r="T94" s="312">
        <f t="shared" si="327"/>
        <v>0</v>
      </c>
      <c r="U94" s="313">
        <f t="shared" si="167"/>
        <v>0</v>
      </c>
      <c r="V94" s="311">
        <f t="shared" ref="V94:W94" si="328">(V13*V43)/12/21/7.5</f>
        <v>0</v>
      </c>
      <c r="W94" s="312">
        <f t="shared" si="328"/>
        <v>0</v>
      </c>
      <c r="X94" s="313">
        <f t="shared" si="168"/>
        <v>0</v>
      </c>
      <c r="Y94" s="311">
        <f t="shared" ref="Y94:Z94" si="329">(Y13*Y43)/12/21/7.5</f>
        <v>0</v>
      </c>
      <c r="Z94" s="312">
        <f t="shared" si="329"/>
        <v>0</v>
      </c>
      <c r="AA94" s="313">
        <f t="shared" si="169"/>
        <v>0</v>
      </c>
      <c r="AB94" s="311">
        <f t="shared" ref="AB94:AC94" si="330">(AB13*AB43)/12/21/7.5</f>
        <v>0</v>
      </c>
      <c r="AC94" s="312">
        <f t="shared" si="330"/>
        <v>0</v>
      </c>
      <c r="AD94" s="313">
        <f t="shared" si="170"/>
        <v>0</v>
      </c>
      <c r="AE94" s="311">
        <f t="shared" ref="AE94:AF94" si="331">(AE13*AE43)/12/21/7.5</f>
        <v>0</v>
      </c>
      <c r="AF94" s="312">
        <f t="shared" si="331"/>
        <v>0</v>
      </c>
      <c r="AG94" s="313">
        <f t="shared" si="171"/>
        <v>0</v>
      </c>
      <c r="AH94" s="311">
        <f t="shared" ref="AH94:AI94" si="332">(AH13*AH43)/12/21/7.5</f>
        <v>0</v>
      </c>
      <c r="AI94" s="312">
        <f t="shared" si="332"/>
        <v>0</v>
      </c>
      <c r="AJ94" s="313">
        <f t="shared" si="172"/>
        <v>0</v>
      </c>
      <c r="AK94" s="311">
        <f t="shared" ref="AK94:AL94" si="333">(AK13*AK43)/12/21/7.5</f>
        <v>0</v>
      </c>
      <c r="AL94" s="312">
        <f t="shared" si="333"/>
        <v>0</v>
      </c>
      <c r="AM94" s="313">
        <f t="shared" si="173"/>
        <v>0</v>
      </c>
      <c r="AN94" s="311">
        <f t="shared" ref="AN94:AO94" si="334">(AN13*AN43)/12/21/7.5</f>
        <v>0</v>
      </c>
      <c r="AO94" s="312">
        <f t="shared" si="334"/>
        <v>0</v>
      </c>
      <c r="AP94" s="313">
        <f t="shared" si="174"/>
        <v>0</v>
      </c>
      <c r="AQ94" s="311">
        <f t="shared" ref="AQ94:AR94" si="335">(AQ13*AQ43)/12/21/7.5</f>
        <v>0</v>
      </c>
      <c r="AR94" s="312">
        <f t="shared" si="335"/>
        <v>0</v>
      </c>
      <c r="AS94" s="313">
        <f t="shared" si="175"/>
        <v>0</v>
      </c>
      <c r="AT94" s="311">
        <f t="shared" ref="AT94:AU94" si="336">(AT13*AT43)/12/21/7.5</f>
        <v>0</v>
      </c>
      <c r="AU94" s="312">
        <f t="shared" si="336"/>
        <v>0</v>
      </c>
      <c r="AV94" s="313">
        <f t="shared" si="176"/>
        <v>0</v>
      </c>
      <c r="AW94" s="311">
        <f t="shared" ref="AW94:AX94" si="337">(AW13*AW43)/12/21/7.5</f>
        <v>0</v>
      </c>
      <c r="AX94" s="312">
        <f t="shared" si="337"/>
        <v>0</v>
      </c>
      <c r="AY94" s="313">
        <f t="shared" si="177"/>
        <v>0</v>
      </c>
      <c r="AZ94" s="311">
        <f t="shared" ref="AZ94:BA94" si="338">(AZ13*AZ43)/12/21/7.5</f>
        <v>0</v>
      </c>
      <c r="BA94" s="312">
        <f t="shared" si="338"/>
        <v>0</v>
      </c>
      <c r="BB94" s="313">
        <f t="shared" si="178"/>
        <v>0</v>
      </c>
      <c r="BC94" s="311">
        <f t="shared" ref="BC94:BD94" si="339">(BC13*BC43)/12/21/7.5</f>
        <v>0</v>
      </c>
      <c r="BD94" s="312">
        <f t="shared" si="339"/>
        <v>0</v>
      </c>
      <c r="BE94" s="313">
        <f t="shared" si="179"/>
        <v>0</v>
      </c>
      <c r="BF94" s="311">
        <f t="shared" ref="BF94:BG94" si="340">(BF13*BF43)/12/21/7.5</f>
        <v>0</v>
      </c>
      <c r="BG94" s="312">
        <f t="shared" si="340"/>
        <v>0</v>
      </c>
      <c r="BH94" s="313">
        <f t="shared" si="180"/>
        <v>0</v>
      </c>
      <c r="BI94" s="311">
        <f t="shared" si="202"/>
        <v>0</v>
      </c>
      <c r="BJ94" s="312">
        <f t="shared" si="202"/>
        <v>0</v>
      </c>
      <c r="BK94" s="313">
        <f t="shared" si="181"/>
        <v>0</v>
      </c>
      <c r="BL94" s="311">
        <f t="shared" si="203"/>
        <v>0</v>
      </c>
      <c r="BM94" s="312">
        <f t="shared" si="203"/>
        <v>0</v>
      </c>
      <c r="BN94" s="313">
        <f t="shared" si="182"/>
        <v>0</v>
      </c>
      <c r="BO94" s="311">
        <f t="shared" si="204"/>
        <v>0</v>
      </c>
      <c r="BP94" s="312">
        <f t="shared" si="204"/>
        <v>0</v>
      </c>
      <c r="BQ94" s="313">
        <f t="shared" si="183"/>
        <v>0</v>
      </c>
    </row>
    <row r="95" spans="1:69" ht="15.75" thickBot="1">
      <c r="A95" s="788"/>
      <c r="B95" s="790"/>
      <c r="C95" s="300" t="s">
        <v>34</v>
      </c>
      <c r="D95" s="301">
        <f t="shared" si="160"/>
        <v>253.96825396825398</v>
      </c>
      <c r="E95" s="302">
        <f t="shared" si="161"/>
        <v>138.88888888888886</v>
      </c>
      <c r="F95" s="303">
        <f t="shared" si="162"/>
        <v>-115.0793650793651</v>
      </c>
      <c r="G95" s="314">
        <f t="shared" si="184"/>
        <v>15.873015873015873</v>
      </c>
      <c r="H95" s="315">
        <f t="shared" si="184"/>
        <v>7.9365079365079367</v>
      </c>
      <c r="I95" s="316">
        <f t="shared" si="163"/>
        <v>-7.9365079365079367</v>
      </c>
      <c r="J95" s="314">
        <f t="shared" ref="J95:K95" si="341">(J14*J44)/12/21/7.5</f>
        <v>238.0952380952381</v>
      </c>
      <c r="K95" s="315">
        <f t="shared" si="341"/>
        <v>130.95238095238093</v>
      </c>
      <c r="L95" s="316">
        <f t="shared" si="164"/>
        <v>-107.14285714285717</v>
      </c>
      <c r="M95" s="314">
        <f t="shared" ref="M95:N95" si="342">(M14*M44)/12/21/7.5</f>
        <v>0</v>
      </c>
      <c r="N95" s="315">
        <f t="shared" si="342"/>
        <v>0</v>
      </c>
      <c r="O95" s="316">
        <f t="shared" si="165"/>
        <v>0</v>
      </c>
      <c r="P95" s="314">
        <f t="shared" ref="P95:Q95" si="343">(P14*P44)/12/21/7.5</f>
        <v>0</v>
      </c>
      <c r="Q95" s="315">
        <f t="shared" si="343"/>
        <v>0</v>
      </c>
      <c r="R95" s="316">
        <f t="shared" si="166"/>
        <v>0</v>
      </c>
      <c r="S95" s="314">
        <f t="shared" ref="S95:T95" si="344">(S14*S44)/12/21/7.5</f>
        <v>0</v>
      </c>
      <c r="T95" s="315">
        <f t="shared" si="344"/>
        <v>0</v>
      </c>
      <c r="U95" s="316">
        <f t="shared" si="167"/>
        <v>0</v>
      </c>
      <c r="V95" s="314">
        <f t="shared" ref="V95:W95" si="345">(V14*V44)/12/21/7.5</f>
        <v>0</v>
      </c>
      <c r="W95" s="315">
        <f t="shared" si="345"/>
        <v>0</v>
      </c>
      <c r="X95" s="316">
        <f t="shared" si="168"/>
        <v>0</v>
      </c>
      <c r="Y95" s="314">
        <f t="shared" ref="Y95:Z95" si="346">(Y14*Y44)/12/21/7.5</f>
        <v>0</v>
      </c>
      <c r="Z95" s="315">
        <f t="shared" si="346"/>
        <v>0</v>
      </c>
      <c r="AA95" s="316">
        <f t="shared" si="169"/>
        <v>0</v>
      </c>
      <c r="AB95" s="314">
        <f t="shared" ref="AB95:AC95" si="347">(AB14*AB44)/12/21/7.5</f>
        <v>0</v>
      </c>
      <c r="AC95" s="315">
        <f t="shared" si="347"/>
        <v>0</v>
      </c>
      <c r="AD95" s="316">
        <f t="shared" si="170"/>
        <v>0</v>
      </c>
      <c r="AE95" s="314">
        <f t="shared" ref="AE95:AF95" si="348">(AE14*AE44)/12/21/7.5</f>
        <v>0</v>
      </c>
      <c r="AF95" s="315">
        <f t="shared" si="348"/>
        <v>0</v>
      </c>
      <c r="AG95" s="316">
        <f t="shared" si="171"/>
        <v>0</v>
      </c>
      <c r="AH95" s="314">
        <f t="shared" ref="AH95:AI95" si="349">(AH14*AH44)/12/21/7.5</f>
        <v>0</v>
      </c>
      <c r="AI95" s="315">
        <f t="shared" si="349"/>
        <v>0</v>
      </c>
      <c r="AJ95" s="316">
        <f t="shared" si="172"/>
        <v>0</v>
      </c>
      <c r="AK95" s="314">
        <f t="shared" ref="AK95:AL95" si="350">(AK14*AK44)/12/21/7.5</f>
        <v>0</v>
      </c>
      <c r="AL95" s="315">
        <f t="shared" si="350"/>
        <v>0</v>
      </c>
      <c r="AM95" s="316">
        <f t="shared" si="173"/>
        <v>0</v>
      </c>
      <c r="AN95" s="314">
        <f t="shared" ref="AN95:AO95" si="351">(AN14*AN44)/12/21/7.5</f>
        <v>0</v>
      </c>
      <c r="AO95" s="315">
        <f t="shared" si="351"/>
        <v>0</v>
      </c>
      <c r="AP95" s="316">
        <f t="shared" si="174"/>
        <v>0</v>
      </c>
      <c r="AQ95" s="314">
        <f t="shared" ref="AQ95:AR95" si="352">(AQ14*AQ44)/12/21/7.5</f>
        <v>0</v>
      </c>
      <c r="AR95" s="315">
        <f t="shared" si="352"/>
        <v>0</v>
      </c>
      <c r="AS95" s="316">
        <f t="shared" si="175"/>
        <v>0</v>
      </c>
      <c r="AT95" s="314">
        <f t="shared" ref="AT95:AU95" si="353">(AT14*AT44)/12/21/7.5</f>
        <v>0</v>
      </c>
      <c r="AU95" s="315">
        <f t="shared" si="353"/>
        <v>0</v>
      </c>
      <c r="AV95" s="316">
        <f t="shared" si="176"/>
        <v>0</v>
      </c>
      <c r="AW95" s="314">
        <f t="shared" ref="AW95:AX95" si="354">(AW14*AW44)/12/21/7.5</f>
        <v>0</v>
      </c>
      <c r="AX95" s="315">
        <f t="shared" si="354"/>
        <v>0</v>
      </c>
      <c r="AY95" s="316">
        <f t="shared" si="177"/>
        <v>0</v>
      </c>
      <c r="AZ95" s="314">
        <f t="shared" ref="AZ95:BA95" si="355">(AZ14*AZ44)/12/21/7.5</f>
        <v>0</v>
      </c>
      <c r="BA95" s="315">
        <f t="shared" si="355"/>
        <v>0</v>
      </c>
      <c r="BB95" s="316">
        <f t="shared" si="178"/>
        <v>0</v>
      </c>
      <c r="BC95" s="314">
        <f t="shared" ref="BC95:BD95" si="356">(BC14*BC44)/12/21/7.5</f>
        <v>0</v>
      </c>
      <c r="BD95" s="315">
        <f t="shared" si="356"/>
        <v>0</v>
      </c>
      <c r="BE95" s="316">
        <f t="shared" si="179"/>
        <v>0</v>
      </c>
      <c r="BF95" s="314">
        <f t="shared" ref="BF95:BG95" si="357">(BF14*BF44)/12/21/7.5</f>
        <v>0</v>
      </c>
      <c r="BG95" s="315">
        <f t="shared" si="357"/>
        <v>0</v>
      </c>
      <c r="BH95" s="316">
        <f t="shared" si="180"/>
        <v>0</v>
      </c>
      <c r="BI95" s="314">
        <f t="shared" si="202"/>
        <v>0</v>
      </c>
      <c r="BJ95" s="315">
        <f t="shared" si="202"/>
        <v>0</v>
      </c>
      <c r="BK95" s="316">
        <f t="shared" si="181"/>
        <v>0</v>
      </c>
      <c r="BL95" s="314">
        <f t="shared" si="203"/>
        <v>0</v>
      </c>
      <c r="BM95" s="315">
        <f t="shared" si="203"/>
        <v>0</v>
      </c>
      <c r="BN95" s="316">
        <f t="shared" si="182"/>
        <v>0</v>
      </c>
      <c r="BO95" s="314">
        <f t="shared" si="204"/>
        <v>0</v>
      </c>
      <c r="BP95" s="315">
        <f t="shared" si="204"/>
        <v>0</v>
      </c>
      <c r="BQ95" s="316">
        <f t="shared" si="183"/>
        <v>0</v>
      </c>
    </row>
    <row r="96" spans="1:69">
      <c r="A96" s="787" t="s">
        <v>146</v>
      </c>
      <c r="B96" s="789" t="s">
        <v>13</v>
      </c>
      <c r="C96" s="290" t="s">
        <v>25</v>
      </c>
      <c r="D96" s="291">
        <f t="shared" ref="D96:D111" si="358">SUM(G96,J96,M96,P96,S96,V96,Y96,AB96,AE96,AH96,AK96,AN96,AQ96,AT96,AW96,AZ96,AZ96,BC96,BF96,BI96,BL96,BO96)</f>
        <v>0</v>
      </c>
      <c r="E96" s="292">
        <f t="shared" si="161"/>
        <v>0</v>
      </c>
      <c r="F96" s="293">
        <f t="shared" si="162"/>
        <v>0</v>
      </c>
      <c r="G96" s="306">
        <v>0</v>
      </c>
      <c r="H96" s="307">
        <f>(G66+I66/2)*((G45-H45)*(1+$BR$45))*Faktory!$D$10</f>
        <v>0</v>
      </c>
      <c r="I96" s="257">
        <f>H96</f>
        <v>0</v>
      </c>
      <c r="J96" s="306">
        <v>0</v>
      </c>
      <c r="K96" s="307">
        <f>(J66+L66/2)*((J45-K45)*(1+$BR$45))*Faktory!$D$10</f>
        <v>0</v>
      </c>
      <c r="L96" s="257">
        <f>K96</f>
        <v>0</v>
      </c>
      <c r="M96" s="306">
        <v>0</v>
      </c>
      <c r="N96" s="307">
        <f>(M66+O66/2)*((M45-N45)*(1+$BR$45))*Faktory!$D$10</f>
        <v>0</v>
      </c>
      <c r="O96" s="257">
        <f>N96</f>
        <v>0</v>
      </c>
      <c r="P96" s="306">
        <v>0</v>
      </c>
      <c r="Q96" s="307">
        <f>(P66+R66/2)*((P45-Q45)*(1+$BR$45))*Faktory!$D$10</f>
        <v>0</v>
      </c>
      <c r="R96" s="257">
        <f>Q96</f>
        <v>0</v>
      </c>
      <c r="S96" s="306">
        <v>0</v>
      </c>
      <c r="T96" s="307">
        <f>(S66+U66/2)*((S45-T45)*(1+$BR$45))*Faktory!$D$10</f>
        <v>0</v>
      </c>
      <c r="U96" s="257">
        <f>T96</f>
        <v>0</v>
      </c>
      <c r="V96" s="306">
        <v>0</v>
      </c>
      <c r="W96" s="307">
        <f>(V66+X66/2)*((V45-W45)*(1+$BR$45))*Faktory!$D$10</f>
        <v>0</v>
      </c>
      <c r="X96" s="257">
        <f>W96</f>
        <v>0</v>
      </c>
      <c r="Y96" s="306">
        <v>0</v>
      </c>
      <c r="Z96" s="307">
        <f>(Y66+AA66/2)*((Y45-Z45)*(1+$BR$45))*Faktory!$D$10</f>
        <v>0</v>
      </c>
      <c r="AA96" s="257">
        <f>Z96</f>
        <v>0</v>
      </c>
      <c r="AB96" s="306">
        <v>0</v>
      </c>
      <c r="AC96" s="307">
        <f>(AB66+AD66/2)*((AB45-AC45)*(1+$BR$45))*Faktory!$D$10</f>
        <v>0</v>
      </c>
      <c r="AD96" s="257">
        <f>AC96</f>
        <v>0</v>
      </c>
      <c r="AE96" s="306">
        <v>0</v>
      </c>
      <c r="AF96" s="307">
        <f>(AE66+AG66/2)*((AE45-AF45)*(1+$BR$45))*Faktory!$D$10</f>
        <v>0</v>
      </c>
      <c r="AG96" s="257">
        <f>AF96</f>
        <v>0</v>
      </c>
      <c r="AH96" s="306">
        <v>0</v>
      </c>
      <c r="AI96" s="307">
        <f>(AH66+AJ66/2)*((AH45-AI45)*(1+$BR$45))*Faktory!$D$10</f>
        <v>0</v>
      </c>
      <c r="AJ96" s="257">
        <f>AI96</f>
        <v>0</v>
      </c>
      <c r="AK96" s="306">
        <v>0</v>
      </c>
      <c r="AL96" s="307">
        <f>(AK66+AM66/2)*((AK45-AL45)*(1+$BR$45))*Faktory!$D$10</f>
        <v>0</v>
      </c>
      <c r="AM96" s="257">
        <f>AL96</f>
        <v>0</v>
      </c>
      <c r="AN96" s="306">
        <v>0</v>
      </c>
      <c r="AO96" s="307">
        <f>(AN66+AP66/2)*((AN45-AO45)*(1+$BR$45))*Faktory!$D$10</f>
        <v>0</v>
      </c>
      <c r="AP96" s="257">
        <f>AO96</f>
        <v>0</v>
      </c>
      <c r="AQ96" s="306">
        <v>0</v>
      </c>
      <c r="AR96" s="307">
        <f>(AQ66+AS66/2)*((AQ45-AR45)*(1+$BR$45))*Faktory!$D$10</f>
        <v>0</v>
      </c>
      <c r="AS96" s="257">
        <f>AR96</f>
        <v>0</v>
      </c>
      <c r="AT96" s="306">
        <v>0</v>
      </c>
      <c r="AU96" s="307">
        <f>(AT66+AV66/2)*((AT45-AU45)*(1+$BR$45))*Faktory!$D$10</f>
        <v>0</v>
      </c>
      <c r="AV96" s="257">
        <f>AU96</f>
        <v>0</v>
      </c>
      <c r="AW96" s="306">
        <v>0</v>
      </c>
      <c r="AX96" s="307">
        <f>(AW66+AY66/2)*((AW45-AX45)*(1+$BR$45))*Faktory!$D$10</f>
        <v>0</v>
      </c>
      <c r="AY96" s="257">
        <f>AX96</f>
        <v>0</v>
      </c>
      <c r="AZ96" s="306">
        <v>0</v>
      </c>
      <c r="BA96" s="307">
        <f>(AZ66+BB66/2)*((AZ45-BA45)*(1+$BR$45))*Faktory!$D$10</f>
        <v>0</v>
      </c>
      <c r="BB96" s="257">
        <f>BA96</f>
        <v>0</v>
      </c>
      <c r="BC96" s="306">
        <v>0</v>
      </c>
      <c r="BD96" s="307">
        <f>(BC66+BE66/2)*((BC45-BD45)*(1+$BR$45))*Faktory!$D$10</f>
        <v>0</v>
      </c>
      <c r="BE96" s="257">
        <f>BD96</f>
        <v>0</v>
      </c>
      <c r="BF96" s="306">
        <v>0</v>
      </c>
      <c r="BG96" s="307">
        <f>(BF66+BH66/2)*((BF45-BG45)*(1+$BR$45))*Faktory!$D$10</f>
        <v>0</v>
      </c>
      <c r="BH96" s="257">
        <f>BG96</f>
        <v>0</v>
      </c>
      <c r="BI96" s="306">
        <v>0</v>
      </c>
      <c r="BJ96" s="307">
        <f>(BI66+BK66/2)*((BI45-BJ45)*(1+$BR$45))*Faktory!$D$10</f>
        <v>0</v>
      </c>
      <c r="BK96" s="257">
        <f>BJ96</f>
        <v>0</v>
      </c>
      <c r="BL96" s="306">
        <v>0</v>
      </c>
      <c r="BM96" s="307">
        <f>(BL66+BN66/2)*((BL45-BM45)*(1+$BR$45))*Faktory!$D$10</f>
        <v>0</v>
      </c>
      <c r="BN96" s="257">
        <f>BM96</f>
        <v>0</v>
      </c>
      <c r="BO96" s="306">
        <v>0</v>
      </c>
      <c r="BP96" s="307">
        <f>(BO66+BQ66/2)*((BO45-BP45)*(1+$BR$45))*Faktory!$D$10</f>
        <v>0</v>
      </c>
      <c r="BQ96" s="257">
        <f>BP96</f>
        <v>0</v>
      </c>
    </row>
    <row r="97" spans="1:69">
      <c r="A97" s="787"/>
      <c r="B97" s="789"/>
      <c r="C97" s="290" t="s">
        <v>26</v>
      </c>
      <c r="D97" s="291">
        <f t="shared" si="358"/>
        <v>0</v>
      </c>
      <c r="E97" s="292">
        <f t="shared" si="161"/>
        <v>0</v>
      </c>
      <c r="F97" s="293">
        <f t="shared" si="162"/>
        <v>0</v>
      </c>
      <c r="G97" s="298">
        <v>0</v>
      </c>
      <c r="H97" s="299">
        <f>(G67+I67/2)*((G46-H46)*(1+$BR$45))*Faktory!$D$10</f>
        <v>0</v>
      </c>
      <c r="I97" s="262">
        <f t="shared" ref="I97:I105" si="359">H97</f>
        <v>0</v>
      </c>
      <c r="J97" s="298">
        <v>0</v>
      </c>
      <c r="K97" s="299">
        <f>(J67+L67/2)*((J46-K46)*(1+$BR$45))*Faktory!$D$10</f>
        <v>0</v>
      </c>
      <c r="L97" s="262">
        <f t="shared" ref="L97:L105" si="360">K97</f>
        <v>0</v>
      </c>
      <c r="M97" s="298">
        <v>0</v>
      </c>
      <c r="N97" s="299">
        <f>(M67+O67/2)*((M46-N46)*(1+$BR$45))*Faktory!$D$10</f>
        <v>0</v>
      </c>
      <c r="O97" s="262">
        <f t="shared" ref="O97:O105" si="361">N97</f>
        <v>0</v>
      </c>
      <c r="P97" s="298">
        <v>0</v>
      </c>
      <c r="Q97" s="299">
        <f>(P67+R67/2)*((P46-Q46)*(1+$BR$45))*Faktory!$D$10</f>
        <v>0</v>
      </c>
      <c r="R97" s="262">
        <f t="shared" ref="R97:R105" si="362">Q97</f>
        <v>0</v>
      </c>
      <c r="S97" s="298">
        <v>0</v>
      </c>
      <c r="T97" s="299">
        <f>(S67+U67/2)*((S46-T46)*(1+$BR$45))*Faktory!$D$10</f>
        <v>0</v>
      </c>
      <c r="U97" s="262">
        <f t="shared" ref="U97:U105" si="363">T97</f>
        <v>0</v>
      </c>
      <c r="V97" s="298">
        <v>0</v>
      </c>
      <c r="W97" s="299">
        <f>(V67+X67/2)*((V46-W46)*(1+$BR$45))*Faktory!$D$10</f>
        <v>0</v>
      </c>
      <c r="X97" s="262">
        <f t="shared" ref="X97:X105" si="364">W97</f>
        <v>0</v>
      </c>
      <c r="Y97" s="298">
        <v>0</v>
      </c>
      <c r="Z97" s="299">
        <f>(Y67+AA67/2)*((Y46-Z46)*(1+$BR$45))*Faktory!$D$10</f>
        <v>0</v>
      </c>
      <c r="AA97" s="262">
        <f t="shared" ref="AA97:AA105" si="365">Z97</f>
        <v>0</v>
      </c>
      <c r="AB97" s="298">
        <v>0</v>
      </c>
      <c r="AC97" s="299">
        <f>(AB67+AD67/2)*((AB46-AC46)*(1+$BR$45))*Faktory!$D$10</f>
        <v>0</v>
      </c>
      <c r="AD97" s="262">
        <f t="shared" ref="AD97:AD105" si="366">AC97</f>
        <v>0</v>
      </c>
      <c r="AE97" s="298">
        <v>0</v>
      </c>
      <c r="AF97" s="299">
        <f>(AE67+AG67/2)*((AE46-AF46)*(1+$BR$45))*Faktory!$D$10</f>
        <v>0</v>
      </c>
      <c r="AG97" s="262">
        <f t="shared" ref="AG97:AG105" si="367">AF97</f>
        <v>0</v>
      </c>
      <c r="AH97" s="298">
        <v>0</v>
      </c>
      <c r="AI97" s="299">
        <f>(AH67+AJ67/2)*((AH46-AI46)*(1+$BR$45))*Faktory!$D$10</f>
        <v>0</v>
      </c>
      <c r="AJ97" s="262">
        <f t="shared" ref="AJ97:AJ105" si="368">AI97</f>
        <v>0</v>
      </c>
      <c r="AK97" s="298">
        <v>0</v>
      </c>
      <c r="AL97" s="299">
        <f>(AK67+AM67/2)*((AK46-AL46)*(1+$BR$45))*Faktory!$D$10</f>
        <v>0</v>
      </c>
      <c r="AM97" s="262">
        <f t="shared" ref="AM97:AM105" si="369">AL97</f>
        <v>0</v>
      </c>
      <c r="AN97" s="298">
        <v>0</v>
      </c>
      <c r="AO97" s="299">
        <f>(AN67+AP67/2)*((AN46-AO46)*(1+$BR$45))*Faktory!$D$10</f>
        <v>0</v>
      </c>
      <c r="AP97" s="262">
        <f t="shared" ref="AP97:AP105" si="370">AO97</f>
        <v>0</v>
      </c>
      <c r="AQ97" s="298">
        <v>0</v>
      </c>
      <c r="AR97" s="299">
        <f>(AQ67+AS67/2)*((AQ46-AR46)*(1+$BR$45))*Faktory!$D$10</f>
        <v>0</v>
      </c>
      <c r="AS97" s="262">
        <f t="shared" ref="AS97:AS105" si="371">AR97</f>
        <v>0</v>
      </c>
      <c r="AT97" s="298">
        <v>0</v>
      </c>
      <c r="AU97" s="299">
        <f>(AT67+AV67/2)*((AT46-AU46)*(1+$BR$45))*Faktory!$D$10</f>
        <v>0</v>
      </c>
      <c r="AV97" s="262">
        <f t="shared" ref="AV97:AV105" si="372">AU97</f>
        <v>0</v>
      </c>
      <c r="AW97" s="298">
        <v>0</v>
      </c>
      <c r="AX97" s="299">
        <f>(AW67+AY67/2)*((AW46-AX46)*(1+$BR$45))*Faktory!$D$10</f>
        <v>0</v>
      </c>
      <c r="AY97" s="262">
        <f t="shared" ref="AY97:AY105" si="373">AX97</f>
        <v>0</v>
      </c>
      <c r="AZ97" s="298">
        <v>0</v>
      </c>
      <c r="BA97" s="299">
        <f>(AZ67+BB67/2)*((AZ46-BA46)*(1+$BR$45))*Faktory!$D$10</f>
        <v>0</v>
      </c>
      <c r="BB97" s="262">
        <f t="shared" ref="BB97:BB105" si="374">BA97</f>
        <v>0</v>
      </c>
      <c r="BC97" s="298">
        <v>0</v>
      </c>
      <c r="BD97" s="299">
        <f>(BC67+BE67/2)*((BC46-BD46)*(1+$BR$45))*Faktory!$D$10</f>
        <v>0</v>
      </c>
      <c r="BE97" s="262">
        <f t="shared" ref="BE97:BE105" si="375">BD97</f>
        <v>0</v>
      </c>
      <c r="BF97" s="298">
        <v>0</v>
      </c>
      <c r="BG97" s="299">
        <f>(BF67+BH67/2)*((BF46-BG46)*(1+$BR$45))*Faktory!$D$10</f>
        <v>0</v>
      </c>
      <c r="BH97" s="262">
        <f t="shared" ref="BH97:BH105" si="376">BG97</f>
        <v>0</v>
      </c>
      <c r="BI97" s="298">
        <v>0</v>
      </c>
      <c r="BJ97" s="299">
        <f>(BI67+BK67/2)*((BI46-BJ46)*(1+$BR$45))*Faktory!$D$10</f>
        <v>0</v>
      </c>
      <c r="BK97" s="262">
        <f t="shared" ref="BK97:BK105" si="377">BJ97</f>
        <v>0</v>
      </c>
      <c r="BL97" s="298">
        <v>0</v>
      </c>
      <c r="BM97" s="299">
        <f>(BL67+BN67/2)*((BL46-BM46)*(1+$BR$45))*Faktory!$D$10</f>
        <v>0</v>
      </c>
      <c r="BN97" s="262">
        <f t="shared" ref="BN97:BN105" si="378">BM97</f>
        <v>0</v>
      </c>
      <c r="BO97" s="298">
        <v>0</v>
      </c>
      <c r="BP97" s="299">
        <f>(BO67+BQ67/2)*((BO46-BP46)*(1+$BR$45))*Faktory!$D$10</f>
        <v>0</v>
      </c>
      <c r="BQ97" s="262">
        <f t="shared" ref="BQ97:BQ105" si="379">BP97</f>
        <v>0</v>
      </c>
    </row>
    <row r="98" spans="1:69">
      <c r="A98" s="787"/>
      <c r="B98" s="789"/>
      <c r="C98" s="290" t="s">
        <v>27</v>
      </c>
      <c r="D98" s="291">
        <f t="shared" si="358"/>
        <v>0</v>
      </c>
      <c r="E98" s="292">
        <f t="shared" si="161"/>
        <v>0</v>
      </c>
      <c r="F98" s="293">
        <f t="shared" si="162"/>
        <v>0</v>
      </c>
      <c r="G98" s="298">
        <v>0</v>
      </c>
      <c r="H98" s="299">
        <f>(G68+I68/2)*((G47-H47)*(1+$BR$45))*Faktory!$D$10</f>
        <v>0</v>
      </c>
      <c r="I98" s="262">
        <f t="shared" si="359"/>
        <v>0</v>
      </c>
      <c r="J98" s="298">
        <v>0</v>
      </c>
      <c r="K98" s="299">
        <f>(J68+L68/2)*((J47-K47)*(1+$BR$45))*Faktory!$D$10</f>
        <v>0</v>
      </c>
      <c r="L98" s="262">
        <f t="shared" si="360"/>
        <v>0</v>
      </c>
      <c r="M98" s="298">
        <v>0</v>
      </c>
      <c r="N98" s="299">
        <f>(M68+O68/2)*((M47-N47)*(1+$BR$45))*Faktory!$D$10</f>
        <v>0</v>
      </c>
      <c r="O98" s="262">
        <f t="shared" si="361"/>
        <v>0</v>
      </c>
      <c r="P98" s="298">
        <v>0</v>
      </c>
      <c r="Q98" s="299">
        <f>(P68+R68/2)*((P47-Q47)*(1+$BR$45))*Faktory!$D$10</f>
        <v>0</v>
      </c>
      <c r="R98" s="262">
        <f t="shared" si="362"/>
        <v>0</v>
      </c>
      <c r="S98" s="298">
        <v>0</v>
      </c>
      <c r="T98" s="299">
        <f>(S68+U68/2)*((S47-T47)*(1+$BR$45))*Faktory!$D$10</f>
        <v>0</v>
      </c>
      <c r="U98" s="262">
        <f t="shared" si="363"/>
        <v>0</v>
      </c>
      <c r="V98" s="298">
        <v>0</v>
      </c>
      <c r="W98" s="299">
        <f>(V68+X68/2)*((V47-W47)*(1+$BR$45))*Faktory!$D$10</f>
        <v>0</v>
      </c>
      <c r="X98" s="262">
        <f t="shared" si="364"/>
        <v>0</v>
      </c>
      <c r="Y98" s="298">
        <v>0</v>
      </c>
      <c r="Z98" s="299">
        <f>(Y68+AA68/2)*((Y47-Z47)*(1+$BR$45))*Faktory!$D$10</f>
        <v>0</v>
      </c>
      <c r="AA98" s="262">
        <f t="shared" si="365"/>
        <v>0</v>
      </c>
      <c r="AB98" s="298">
        <v>0</v>
      </c>
      <c r="AC98" s="299">
        <f>(AB68+AD68/2)*((AB47-AC47)*(1+$BR$45))*Faktory!$D$10</f>
        <v>0</v>
      </c>
      <c r="AD98" s="262">
        <f t="shared" si="366"/>
        <v>0</v>
      </c>
      <c r="AE98" s="298">
        <v>0</v>
      </c>
      <c r="AF98" s="299">
        <f>(AE68+AG68/2)*((AE47-AF47)*(1+$BR$45))*Faktory!$D$10</f>
        <v>0</v>
      </c>
      <c r="AG98" s="262">
        <f t="shared" si="367"/>
        <v>0</v>
      </c>
      <c r="AH98" s="298">
        <v>0</v>
      </c>
      <c r="AI98" s="299">
        <f>(AH68+AJ68/2)*((AH47-AI47)*(1+$BR$45))*Faktory!$D$10</f>
        <v>0</v>
      </c>
      <c r="AJ98" s="262">
        <f t="shared" si="368"/>
        <v>0</v>
      </c>
      <c r="AK98" s="298">
        <v>0</v>
      </c>
      <c r="AL98" s="299">
        <f>(AK68+AM68/2)*((AK47-AL47)*(1+$BR$45))*Faktory!$D$10</f>
        <v>0</v>
      </c>
      <c r="AM98" s="262">
        <f t="shared" si="369"/>
        <v>0</v>
      </c>
      <c r="AN98" s="298">
        <v>0</v>
      </c>
      <c r="AO98" s="299">
        <f>(AN68+AP68/2)*((AN47-AO47)*(1+$BR$45))*Faktory!$D$10</f>
        <v>0</v>
      </c>
      <c r="AP98" s="262">
        <f t="shared" si="370"/>
        <v>0</v>
      </c>
      <c r="AQ98" s="298">
        <v>0</v>
      </c>
      <c r="AR98" s="299">
        <f>(AQ68+AS68/2)*((AQ47-AR47)*(1+$BR$45))*Faktory!$D$10</f>
        <v>0</v>
      </c>
      <c r="AS98" s="262">
        <f t="shared" si="371"/>
        <v>0</v>
      </c>
      <c r="AT98" s="298">
        <v>0</v>
      </c>
      <c r="AU98" s="299">
        <f>(AT68+AV68/2)*((AT47-AU47)*(1+$BR$45))*Faktory!$D$10</f>
        <v>0</v>
      </c>
      <c r="AV98" s="262">
        <f t="shared" si="372"/>
        <v>0</v>
      </c>
      <c r="AW98" s="298">
        <v>0</v>
      </c>
      <c r="AX98" s="299">
        <f>(AW68+AY68/2)*((AW47-AX47)*(1+$BR$45))*Faktory!$D$10</f>
        <v>0</v>
      </c>
      <c r="AY98" s="262">
        <f t="shared" si="373"/>
        <v>0</v>
      </c>
      <c r="AZ98" s="298">
        <v>0</v>
      </c>
      <c r="BA98" s="299">
        <f>(AZ68+BB68/2)*((AZ47-BA47)*(1+$BR$45))*Faktory!$D$10</f>
        <v>0</v>
      </c>
      <c r="BB98" s="262">
        <f t="shared" si="374"/>
        <v>0</v>
      </c>
      <c r="BC98" s="298">
        <v>0</v>
      </c>
      <c r="BD98" s="299">
        <f>(BC68+BE68/2)*((BC47-BD47)*(1+$BR$45))*Faktory!$D$10</f>
        <v>0</v>
      </c>
      <c r="BE98" s="262">
        <f t="shared" si="375"/>
        <v>0</v>
      </c>
      <c r="BF98" s="298">
        <v>0</v>
      </c>
      <c r="BG98" s="299">
        <f>(BF68+BH68/2)*((BF47-BG47)*(1+$BR$45))*Faktory!$D$10</f>
        <v>0</v>
      </c>
      <c r="BH98" s="262">
        <f t="shared" si="376"/>
        <v>0</v>
      </c>
      <c r="BI98" s="298">
        <v>0</v>
      </c>
      <c r="BJ98" s="299">
        <f>(BI68+BK68/2)*((BI47-BJ47)*(1+$BR$45))*Faktory!$D$10</f>
        <v>0</v>
      </c>
      <c r="BK98" s="262">
        <f t="shared" si="377"/>
        <v>0</v>
      </c>
      <c r="BL98" s="298">
        <v>0</v>
      </c>
      <c r="BM98" s="299">
        <f>(BL68+BN68/2)*((BL47-BM47)*(1+$BR$45))*Faktory!$D$10</f>
        <v>0</v>
      </c>
      <c r="BN98" s="262">
        <f t="shared" si="378"/>
        <v>0</v>
      </c>
      <c r="BO98" s="298">
        <v>0</v>
      </c>
      <c r="BP98" s="299">
        <f>(BO68+BQ68/2)*((BO47-BP47)*(1+$BR$45))*Faktory!$D$10</f>
        <v>0</v>
      </c>
      <c r="BQ98" s="262">
        <f t="shared" si="379"/>
        <v>0</v>
      </c>
    </row>
    <row r="99" spans="1:69">
      <c r="A99" s="787"/>
      <c r="B99" s="789"/>
      <c r="C99" s="290" t="s">
        <v>28</v>
      </c>
      <c r="D99" s="291">
        <f t="shared" si="358"/>
        <v>0</v>
      </c>
      <c r="E99" s="292">
        <f t="shared" si="161"/>
        <v>0</v>
      </c>
      <c r="F99" s="293">
        <f t="shared" si="162"/>
        <v>0</v>
      </c>
      <c r="G99" s="298">
        <v>0</v>
      </c>
      <c r="H99" s="299">
        <f>(G69+I69/2)*((G48-H48)*(1+$BR$45))*Faktory!$D$10</f>
        <v>0</v>
      </c>
      <c r="I99" s="262">
        <f t="shared" si="359"/>
        <v>0</v>
      </c>
      <c r="J99" s="298">
        <v>0</v>
      </c>
      <c r="K99" s="299">
        <f>(J69+L69/2)*((J48-K48)*(1+$BR$45))*Faktory!$D$10</f>
        <v>0</v>
      </c>
      <c r="L99" s="262">
        <f t="shared" si="360"/>
        <v>0</v>
      </c>
      <c r="M99" s="298">
        <v>0</v>
      </c>
      <c r="N99" s="299">
        <f>(M69+O69/2)*((M48-N48)*(1+$BR$45))*Faktory!$D$10</f>
        <v>0</v>
      </c>
      <c r="O99" s="262">
        <f t="shared" si="361"/>
        <v>0</v>
      </c>
      <c r="P99" s="298">
        <v>0</v>
      </c>
      <c r="Q99" s="299">
        <f>(P69+R69/2)*((P48-Q48)*(1+$BR$45))*Faktory!$D$10</f>
        <v>0</v>
      </c>
      <c r="R99" s="262">
        <f t="shared" si="362"/>
        <v>0</v>
      </c>
      <c r="S99" s="298">
        <v>0</v>
      </c>
      <c r="T99" s="299">
        <f>(S69+U69/2)*((S48-T48)*(1+$BR$45))*Faktory!$D$10</f>
        <v>0</v>
      </c>
      <c r="U99" s="262">
        <f t="shared" si="363"/>
        <v>0</v>
      </c>
      <c r="V99" s="298">
        <v>0</v>
      </c>
      <c r="W99" s="299">
        <f>(V69+X69/2)*((V48-W48)*(1+$BR$45))*Faktory!$D$10</f>
        <v>0</v>
      </c>
      <c r="X99" s="262">
        <f t="shared" si="364"/>
        <v>0</v>
      </c>
      <c r="Y99" s="298">
        <v>0</v>
      </c>
      <c r="Z99" s="299">
        <f>(Y69+AA69/2)*((Y48-Z48)*(1+$BR$45))*Faktory!$D$10</f>
        <v>0</v>
      </c>
      <c r="AA99" s="262">
        <f t="shared" si="365"/>
        <v>0</v>
      </c>
      <c r="AB99" s="298">
        <v>0</v>
      </c>
      <c r="AC99" s="299">
        <f>(AB69+AD69/2)*((AB48-AC48)*(1+$BR$45))*Faktory!$D$10</f>
        <v>0</v>
      </c>
      <c r="AD99" s="262">
        <f t="shared" si="366"/>
        <v>0</v>
      </c>
      <c r="AE99" s="298">
        <v>0</v>
      </c>
      <c r="AF99" s="299">
        <f>(AE69+AG69/2)*((AE48-AF48)*(1+$BR$45))*Faktory!$D$10</f>
        <v>0</v>
      </c>
      <c r="AG99" s="262">
        <f t="shared" si="367"/>
        <v>0</v>
      </c>
      <c r="AH99" s="298">
        <v>0</v>
      </c>
      <c r="AI99" s="299">
        <f>(AH69+AJ69/2)*((AH48-AI48)*(1+$BR$45))*Faktory!$D$10</f>
        <v>0</v>
      </c>
      <c r="AJ99" s="262">
        <f t="shared" si="368"/>
        <v>0</v>
      </c>
      <c r="AK99" s="298">
        <v>0</v>
      </c>
      <c r="AL99" s="299">
        <f>(AK69+AM69/2)*((AK48-AL48)*(1+$BR$45))*Faktory!$D$10</f>
        <v>0</v>
      </c>
      <c r="AM99" s="262">
        <f t="shared" si="369"/>
        <v>0</v>
      </c>
      <c r="AN99" s="298">
        <v>0</v>
      </c>
      <c r="AO99" s="299">
        <f>(AN69+AP69/2)*((AN48-AO48)*(1+$BR$45))*Faktory!$D$10</f>
        <v>0</v>
      </c>
      <c r="AP99" s="262">
        <f t="shared" si="370"/>
        <v>0</v>
      </c>
      <c r="AQ99" s="298">
        <v>0</v>
      </c>
      <c r="AR99" s="299">
        <f>(AQ69+AS69/2)*((AQ48-AR48)*(1+$BR$45))*Faktory!$D$10</f>
        <v>0</v>
      </c>
      <c r="AS99" s="262">
        <f t="shared" si="371"/>
        <v>0</v>
      </c>
      <c r="AT99" s="298">
        <v>0</v>
      </c>
      <c r="AU99" s="299">
        <f>(AT69+AV69/2)*((AT48-AU48)*(1+$BR$45))*Faktory!$D$10</f>
        <v>0</v>
      </c>
      <c r="AV99" s="262">
        <f t="shared" si="372"/>
        <v>0</v>
      </c>
      <c r="AW99" s="298">
        <v>0</v>
      </c>
      <c r="AX99" s="299">
        <f>(AW69+AY69/2)*((AW48-AX48)*(1+$BR$45))*Faktory!$D$10</f>
        <v>0</v>
      </c>
      <c r="AY99" s="262">
        <f t="shared" si="373"/>
        <v>0</v>
      </c>
      <c r="AZ99" s="298">
        <v>0</v>
      </c>
      <c r="BA99" s="299">
        <f>(AZ69+BB69/2)*((AZ48-BA48)*(1+$BR$45))*Faktory!$D$10</f>
        <v>0</v>
      </c>
      <c r="BB99" s="262">
        <f t="shared" si="374"/>
        <v>0</v>
      </c>
      <c r="BC99" s="298">
        <v>0</v>
      </c>
      <c r="BD99" s="299">
        <f>(BC69+BE69/2)*((BC48-BD48)*(1+$BR$45))*Faktory!$D$10</f>
        <v>0</v>
      </c>
      <c r="BE99" s="262">
        <f t="shared" si="375"/>
        <v>0</v>
      </c>
      <c r="BF99" s="298">
        <v>0</v>
      </c>
      <c r="BG99" s="299">
        <f>(BF69+BH69/2)*((BF48-BG48)*(1+$BR$45))*Faktory!$D$10</f>
        <v>0</v>
      </c>
      <c r="BH99" s="262">
        <f t="shared" si="376"/>
        <v>0</v>
      </c>
      <c r="BI99" s="298">
        <v>0</v>
      </c>
      <c r="BJ99" s="299">
        <f>(BI69+BK69/2)*((BI48-BJ48)*(1+$BR$45))*Faktory!$D$10</f>
        <v>0</v>
      </c>
      <c r="BK99" s="262">
        <f t="shared" si="377"/>
        <v>0</v>
      </c>
      <c r="BL99" s="298">
        <v>0</v>
      </c>
      <c r="BM99" s="299">
        <f>(BL69+BN69/2)*((BL48-BM48)*(1+$BR$45))*Faktory!$D$10</f>
        <v>0</v>
      </c>
      <c r="BN99" s="262">
        <f t="shared" si="378"/>
        <v>0</v>
      </c>
      <c r="BO99" s="298">
        <v>0</v>
      </c>
      <c r="BP99" s="299">
        <f>(BO69+BQ69/2)*((BO48-BP48)*(1+$BR$45))*Faktory!$D$10</f>
        <v>0</v>
      </c>
      <c r="BQ99" s="262">
        <f t="shared" si="379"/>
        <v>0</v>
      </c>
    </row>
    <row r="100" spans="1:69">
      <c r="A100" s="787"/>
      <c r="B100" s="789"/>
      <c r="C100" s="290" t="s">
        <v>29</v>
      </c>
      <c r="D100" s="291">
        <f t="shared" si="358"/>
        <v>0</v>
      </c>
      <c r="E100" s="292">
        <f t="shared" si="161"/>
        <v>0</v>
      </c>
      <c r="F100" s="293">
        <f t="shared" si="162"/>
        <v>0</v>
      </c>
      <c r="G100" s="298">
        <v>0</v>
      </c>
      <c r="H100" s="299">
        <f>(G70+I70/2)*((G49-H49)*(1+$BR$45))*Faktory!$D$10</f>
        <v>0</v>
      </c>
      <c r="I100" s="262">
        <f t="shared" si="359"/>
        <v>0</v>
      </c>
      <c r="J100" s="298">
        <v>0</v>
      </c>
      <c r="K100" s="299">
        <f>(J70+L70/2)*((J49-K49)*(1+$BR$45))*Faktory!$D$10</f>
        <v>0</v>
      </c>
      <c r="L100" s="262">
        <f t="shared" si="360"/>
        <v>0</v>
      </c>
      <c r="M100" s="298">
        <v>0</v>
      </c>
      <c r="N100" s="299">
        <f>(M70+O70/2)*((M49-N49)*(1+$BR$45))*Faktory!$D$10</f>
        <v>0</v>
      </c>
      <c r="O100" s="262">
        <f t="shared" si="361"/>
        <v>0</v>
      </c>
      <c r="P100" s="298">
        <v>0</v>
      </c>
      <c r="Q100" s="299">
        <f>(P70+R70/2)*((P49-Q49)*(1+$BR$45))*Faktory!$D$10</f>
        <v>0</v>
      </c>
      <c r="R100" s="262">
        <f t="shared" si="362"/>
        <v>0</v>
      </c>
      <c r="S100" s="298">
        <v>0</v>
      </c>
      <c r="T100" s="299">
        <f>(S70+U70/2)*((S49-T49)*(1+$BR$45))*Faktory!$D$10</f>
        <v>0</v>
      </c>
      <c r="U100" s="262">
        <f t="shared" si="363"/>
        <v>0</v>
      </c>
      <c r="V100" s="298">
        <v>0</v>
      </c>
      <c r="W100" s="299">
        <f>(V70+X70/2)*((V49-W49)*(1+$BR$45))*Faktory!$D$10</f>
        <v>0</v>
      </c>
      <c r="X100" s="262">
        <f t="shared" si="364"/>
        <v>0</v>
      </c>
      <c r="Y100" s="298">
        <v>0</v>
      </c>
      <c r="Z100" s="299">
        <f>(Y70+AA70/2)*((Y49-Z49)*(1+$BR$45))*Faktory!$D$10</f>
        <v>0</v>
      </c>
      <c r="AA100" s="262">
        <f t="shared" si="365"/>
        <v>0</v>
      </c>
      <c r="AB100" s="298">
        <v>0</v>
      </c>
      <c r="AC100" s="299">
        <f>(AB70+AD70/2)*((AB49-AC49)*(1+$BR$45))*Faktory!$D$10</f>
        <v>0</v>
      </c>
      <c r="AD100" s="262">
        <f t="shared" si="366"/>
        <v>0</v>
      </c>
      <c r="AE100" s="298">
        <v>0</v>
      </c>
      <c r="AF100" s="299">
        <f>(AE70+AG70/2)*((AE49-AF49)*(1+$BR$45))*Faktory!$D$10</f>
        <v>0</v>
      </c>
      <c r="AG100" s="262">
        <f t="shared" si="367"/>
        <v>0</v>
      </c>
      <c r="AH100" s="298">
        <v>0</v>
      </c>
      <c r="AI100" s="299">
        <f>(AH70+AJ70/2)*((AH49-AI49)*(1+$BR$45))*Faktory!$D$10</f>
        <v>0</v>
      </c>
      <c r="AJ100" s="262">
        <f t="shared" si="368"/>
        <v>0</v>
      </c>
      <c r="AK100" s="298">
        <v>0</v>
      </c>
      <c r="AL100" s="299">
        <f>(AK70+AM70/2)*((AK49-AL49)*(1+$BR$45))*Faktory!$D$10</f>
        <v>0</v>
      </c>
      <c r="AM100" s="262">
        <f t="shared" si="369"/>
        <v>0</v>
      </c>
      <c r="AN100" s="298">
        <v>0</v>
      </c>
      <c r="AO100" s="299">
        <f>(AN70+AP70/2)*((AN49-AO49)*(1+$BR$45))*Faktory!$D$10</f>
        <v>0</v>
      </c>
      <c r="AP100" s="262">
        <f t="shared" si="370"/>
        <v>0</v>
      </c>
      <c r="AQ100" s="298">
        <v>0</v>
      </c>
      <c r="AR100" s="299">
        <f>(AQ70+AS70/2)*((AQ49-AR49)*(1+$BR$45))*Faktory!$D$10</f>
        <v>0</v>
      </c>
      <c r="AS100" s="262">
        <f t="shared" si="371"/>
        <v>0</v>
      </c>
      <c r="AT100" s="298">
        <v>0</v>
      </c>
      <c r="AU100" s="299">
        <f>(AT70+AV70/2)*((AT49-AU49)*(1+$BR$45))*Faktory!$D$10</f>
        <v>0</v>
      </c>
      <c r="AV100" s="262">
        <f t="shared" si="372"/>
        <v>0</v>
      </c>
      <c r="AW100" s="298">
        <v>0</v>
      </c>
      <c r="AX100" s="299">
        <f>(AW70+AY70/2)*((AW49-AX49)*(1+$BR$45))*Faktory!$D$10</f>
        <v>0</v>
      </c>
      <c r="AY100" s="262">
        <f t="shared" si="373"/>
        <v>0</v>
      </c>
      <c r="AZ100" s="298">
        <v>0</v>
      </c>
      <c r="BA100" s="299">
        <f>(AZ70+BB70/2)*((AZ49-BA49)*(1+$BR$45))*Faktory!$D$10</f>
        <v>0</v>
      </c>
      <c r="BB100" s="262">
        <f t="shared" si="374"/>
        <v>0</v>
      </c>
      <c r="BC100" s="298">
        <v>0</v>
      </c>
      <c r="BD100" s="299">
        <f>(BC70+BE70/2)*((BC49-BD49)*(1+$BR$45))*Faktory!$D$10</f>
        <v>0</v>
      </c>
      <c r="BE100" s="262">
        <f t="shared" si="375"/>
        <v>0</v>
      </c>
      <c r="BF100" s="298">
        <v>0</v>
      </c>
      <c r="BG100" s="299">
        <f>(BF70+BH70/2)*((BF49-BG49)*(1+$BR$45))*Faktory!$D$10</f>
        <v>0</v>
      </c>
      <c r="BH100" s="262">
        <f t="shared" si="376"/>
        <v>0</v>
      </c>
      <c r="BI100" s="298">
        <v>0</v>
      </c>
      <c r="BJ100" s="299">
        <f>(BI70+BK70/2)*((BI49-BJ49)*(1+$BR$45))*Faktory!$D$10</f>
        <v>0</v>
      </c>
      <c r="BK100" s="262">
        <f t="shared" si="377"/>
        <v>0</v>
      </c>
      <c r="BL100" s="298">
        <v>0</v>
      </c>
      <c r="BM100" s="299">
        <f>(BL70+BN70/2)*((BL49-BM49)*(1+$BR$45))*Faktory!$D$10</f>
        <v>0</v>
      </c>
      <c r="BN100" s="262">
        <f t="shared" si="378"/>
        <v>0</v>
      </c>
      <c r="BO100" s="298">
        <v>0</v>
      </c>
      <c r="BP100" s="299">
        <f>(BO70+BQ70/2)*((BO49-BP49)*(1+$BR$45))*Faktory!$D$10</f>
        <v>0</v>
      </c>
      <c r="BQ100" s="262">
        <f t="shared" si="379"/>
        <v>0</v>
      </c>
    </row>
    <row r="101" spans="1:69">
      <c r="A101" s="787"/>
      <c r="B101" s="789"/>
      <c r="C101" s="290" t="s">
        <v>30</v>
      </c>
      <c r="D101" s="291">
        <f t="shared" si="358"/>
        <v>0</v>
      </c>
      <c r="E101" s="292">
        <f t="shared" si="161"/>
        <v>0</v>
      </c>
      <c r="F101" s="293">
        <f t="shared" si="162"/>
        <v>0</v>
      </c>
      <c r="G101" s="298">
        <v>0</v>
      </c>
      <c r="H101" s="299">
        <f>(G71+I71/2)*((G50-H50)*(1+$BR$45))*Faktory!$D$10</f>
        <v>0</v>
      </c>
      <c r="I101" s="262">
        <f t="shared" si="359"/>
        <v>0</v>
      </c>
      <c r="J101" s="298">
        <v>0</v>
      </c>
      <c r="K101" s="299">
        <f>(J71+L71/2)*((J50-K50)*(1+$BR$45))*Faktory!$D$10</f>
        <v>0</v>
      </c>
      <c r="L101" s="262">
        <f t="shared" si="360"/>
        <v>0</v>
      </c>
      <c r="M101" s="298">
        <v>0</v>
      </c>
      <c r="N101" s="299">
        <f>(M71+O71/2)*((M50-N50)*(1+$BR$45))*Faktory!$D$10</f>
        <v>0</v>
      </c>
      <c r="O101" s="262">
        <f t="shared" si="361"/>
        <v>0</v>
      </c>
      <c r="P101" s="298">
        <v>0</v>
      </c>
      <c r="Q101" s="299">
        <f>(P71+R71/2)*((P50-Q50)*(1+$BR$45))*Faktory!$D$10</f>
        <v>0</v>
      </c>
      <c r="R101" s="262">
        <f t="shared" si="362"/>
        <v>0</v>
      </c>
      <c r="S101" s="298">
        <v>0</v>
      </c>
      <c r="T101" s="299">
        <f>(S71+U71/2)*((S50-T50)*(1+$BR$45))*Faktory!$D$10</f>
        <v>0</v>
      </c>
      <c r="U101" s="262">
        <f t="shared" si="363"/>
        <v>0</v>
      </c>
      <c r="V101" s="298">
        <v>0</v>
      </c>
      <c r="W101" s="299">
        <f>(V71+X71/2)*((V50-W50)*(1+$BR$45))*Faktory!$D$10</f>
        <v>0</v>
      </c>
      <c r="X101" s="262">
        <f t="shared" si="364"/>
        <v>0</v>
      </c>
      <c r="Y101" s="298">
        <v>0</v>
      </c>
      <c r="Z101" s="299">
        <f>(Y71+AA71/2)*((Y50-Z50)*(1+$BR$45))*Faktory!$D$10</f>
        <v>0</v>
      </c>
      <c r="AA101" s="262">
        <f t="shared" si="365"/>
        <v>0</v>
      </c>
      <c r="AB101" s="298">
        <v>0</v>
      </c>
      <c r="AC101" s="299">
        <f>(AB71+AD71/2)*((AB50-AC50)*(1+$BR$45))*Faktory!$D$10</f>
        <v>0</v>
      </c>
      <c r="AD101" s="262">
        <f t="shared" si="366"/>
        <v>0</v>
      </c>
      <c r="AE101" s="298">
        <v>0</v>
      </c>
      <c r="AF101" s="299">
        <f>(AE71+AG71/2)*((AE50-AF50)*(1+$BR$45))*Faktory!$D$10</f>
        <v>0</v>
      </c>
      <c r="AG101" s="262">
        <f t="shared" si="367"/>
        <v>0</v>
      </c>
      <c r="AH101" s="298">
        <v>0</v>
      </c>
      <c r="AI101" s="299">
        <f>(AH71+AJ71/2)*((AH50-AI50)*(1+$BR$45))*Faktory!$D$10</f>
        <v>0</v>
      </c>
      <c r="AJ101" s="262">
        <f t="shared" si="368"/>
        <v>0</v>
      </c>
      <c r="AK101" s="298">
        <v>0</v>
      </c>
      <c r="AL101" s="299">
        <f>(AK71+AM71/2)*((AK50-AL50)*(1+$BR$45))*Faktory!$D$10</f>
        <v>0</v>
      </c>
      <c r="AM101" s="262">
        <f t="shared" si="369"/>
        <v>0</v>
      </c>
      <c r="AN101" s="298">
        <v>0</v>
      </c>
      <c r="AO101" s="299">
        <f>(AN71+AP71/2)*((AN50-AO50)*(1+$BR$45))*Faktory!$D$10</f>
        <v>0</v>
      </c>
      <c r="AP101" s="262">
        <f t="shared" si="370"/>
        <v>0</v>
      </c>
      <c r="AQ101" s="298">
        <v>0</v>
      </c>
      <c r="AR101" s="299">
        <f>(AQ71+AS71/2)*((AQ50-AR50)*(1+$BR$45))*Faktory!$D$10</f>
        <v>0</v>
      </c>
      <c r="AS101" s="262">
        <f t="shared" si="371"/>
        <v>0</v>
      </c>
      <c r="AT101" s="298">
        <v>0</v>
      </c>
      <c r="AU101" s="299">
        <f>(AT71+AV71/2)*((AT50-AU50)*(1+$BR$45))*Faktory!$D$10</f>
        <v>0</v>
      </c>
      <c r="AV101" s="262">
        <f t="shared" si="372"/>
        <v>0</v>
      </c>
      <c r="AW101" s="298">
        <v>0</v>
      </c>
      <c r="AX101" s="299">
        <f>(AW71+AY71/2)*((AW50-AX50)*(1+$BR$45))*Faktory!$D$10</f>
        <v>0</v>
      </c>
      <c r="AY101" s="262">
        <f t="shared" si="373"/>
        <v>0</v>
      </c>
      <c r="AZ101" s="298">
        <v>0</v>
      </c>
      <c r="BA101" s="299">
        <f>(AZ71+BB71/2)*((AZ50-BA50)*(1+$BR$45))*Faktory!$D$10</f>
        <v>0</v>
      </c>
      <c r="BB101" s="262">
        <f t="shared" si="374"/>
        <v>0</v>
      </c>
      <c r="BC101" s="298">
        <v>0</v>
      </c>
      <c r="BD101" s="299">
        <f>(BC71+BE71/2)*((BC50-BD50)*(1+$BR$45))*Faktory!$D$10</f>
        <v>0</v>
      </c>
      <c r="BE101" s="262">
        <f t="shared" si="375"/>
        <v>0</v>
      </c>
      <c r="BF101" s="298">
        <v>0</v>
      </c>
      <c r="BG101" s="299">
        <f>(BF71+BH71/2)*((BF50-BG50)*(1+$BR$45))*Faktory!$D$10</f>
        <v>0</v>
      </c>
      <c r="BH101" s="262">
        <f t="shared" si="376"/>
        <v>0</v>
      </c>
      <c r="BI101" s="298">
        <v>0</v>
      </c>
      <c r="BJ101" s="299">
        <f>(BI71+BK71/2)*((BI50-BJ50)*(1+$BR$45))*Faktory!$D$10</f>
        <v>0</v>
      </c>
      <c r="BK101" s="262">
        <f t="shared" si="377"/>
        <v>0</v>
      </c>
      <c r="BL101" s="298">
        <v>0</v>
      </c>
      <c r="BM101" s="299">
        <f>(BL71+BN71/2)*((BL50-BM50)*(1+$BR$45))*Faktory!$D$10</f>
        <v>0</v>
      </c>
      <c r="BN101" s="262">
        <f t="shared" si="378"/>
        <v>0</v>
      </c>
      <c r="BO101" s="298">
        <v>0</v>
      </c>
      <c r="BP101" s="299">
        <f>(BO71+BQ71/2)*((BO50-BP50)*(1+$BR$45))*Faktory!$D$10</f>
        <v>0</v>
      </c>
      <c r="BQ101" s="262">
        <f t="shared" si="379"/>
        <v>0</v>
      </c>
    </row>
    <row r="102" spans="1:69">
      <c r="A102" s="787"/>
      <c r="B102" s="789"/>
      <c r="C102" s="290" t="s">
        <v>31</v>
      </c>
      <c r="D102" s="291">
        <f t="shared" si="358"/>
        <v>0</v>
      </c>
      <c r="E102" s="292">
        <f t="shared" si="161"/>
        <v>0</v>
      </c>
      <c r="F102" s="293">
        <f t="shared" si="162"/>
        <v>0</v>
      </c>
      <c r="G102" s="298">
        <v>0</v>
      </c>
      <c r="H102" s="299">
        <f>(G72+I72/2)*((G51-H51)*(1+$BR$45))*Faktory!$D$10</f>
        <v>0</v>
      </c>
      <c r="I102" s="262">
        <f t="shared" si="359"/>
        <v>0</v>
      </c>
      <c r="J102" s="298">
        <v>0</v>
      </c>
      <c r="K102" s="299">
        <f>(J72+L72/2)*((J51-K51)*(1+$BR$45))*Faktory!$D$10</f>
        <v>0</v>
      </c>
      <c r="L102" s="262">
        <f t="shared" si="360"/>
        <v>0</v>
      </c>
      <c r="M102" s="298">
        <v>0</v>
      </c>
      <c r="N102" s="299">
        <f>(M72+O72/2)*((M51-N51)*(1+$BR$45))*Faktory!$D$10</f>
        <v>0</v>
      </c>
      <c r="O102" s="262">
        <f t="shared" si="361"/>
        <v>0</v>
      </c>
      <c r="P102" s="298">
        <v>0</v>
      </c>
      <c r="Q102" s="299">
        <f>(P72+R72/2)*((P51-Q51)*(1+$BR$45))*Faktory!$D$10</f>
        <v>0</v>
      </c>
      <c r="R102" s="262">
        <f t="shared" si="362"/>
        <v>0</v>
      </c>
      <c r="S102" s="298">
        <v>0</v>
      </c>
      <c r="T102" s="299">
        <f>(S72+U72/2)*((S51-T51)*(1+$BR$45))*Faktory!$D$10</f>
        <v>0</v>
      </c>
      <c r="U102" s="262">
        <f t="shared" si="363"/>
        <v>0</v>
      </c>
      <c r="V102" s="298">
        <v>0</v>
      </c>
      <c r="W102" s="299">
        <f>(V72+X72/2)*((V51-W51)*(1+$BR$45))*Faktory!$D$10</f>
        <v>0</v>
      </c>
      <c r="X102" s="262">
        <f t="shared" si="364"/>
        <v>0</v>
      </c>
      <c r="Y102" s="298">
        <v>0</v>
      </c>
      <c r="Z102" s="299">
        <f>(Y72+AA72/2)*((Y51-Z51)*(1+$BR$45))*Faktory!$D$10</f>
        <v>0</v>
      </c>
      <c r="AA102" s="262">
        <f t="shared" si="365"/>
        <v>0</v>
      </c>
      <c r="AB102" s="298">
        <v>0</v>
      </c>
      <c r="AC102" s="299">
        <f>(AB72+AD72/2)*((AB51-AC51)*(1+$BR$45))*Faktory!$D$10</f>
        <v>0</v>
      </c>
      <c r="AD102" s="262">
        <f t="shared" si="366"/>
        <v>0</v>
      </c>
      <c r="AE102" s="298">
        <v>0</v>
      </c>
      <c r="AF102" s="299">
        <f>(AE72+AG72/2)*((AE51-AF51)*(1+$BR$45))*Faktory!$D$10</f>
        <v>0</v>
      </c>
      <c r="AG102" s="262">
        <f t="shared" si="367"/>
        <v>0</v>
      </c>
      <c r="AH102" s="298">
        <v>0</v>
      </c>
      <c r="AI102" s="299">
        <f>(AH72+AJ72/2)*((AH51-AI51)*(1+$BR$45))*Faktory!$D$10</f>
        <v>0</v>
      </c>
      <c r="AJ102" s="262">
        <f t="shared" si="368"/>
        <v>0</v>
      </c>
      <c r="AK102" s="298">
        <v>0</v>
      </c>
      <c r="AL102" s="299">
        <f>(AK72+AM72/2)*((AK51-AL51)*(1+$BR$45))*Faktory!$D$10</f>
        <v>0</v>
      </c>
      <c r="AM102" s="262">
        <f t="shared" si="369"/>
        <v>0</v>
      </c>
      <c r="AN102" s="298">
        <v>0</v>
      </c>
      <c r="AO102" s="299">
        <f>(AN72+AP72/2)*((AN51-AO51)*(1+$BR$45))*Faktory!$D$10</f>
        <v>0</v>
      </c>
      <c r="AP102" s="262">
        <f t="shared" si="370"/>
        <v>0</v>
      </c>
      <c r="AQ102" s="298">
        <v>0</v>
      </c>
      <c r="AR102" s="299">
        <f>(AQ72+AS72/2)*((AQ51-AR51)*(1+$BR$45))*Faktory!$D$10</f>
        <v>0</v>
      </c>
      <c r="AS102" s="262">
        <f t="shared" si="371"/>
        <v>0</v>
      </c>
      <c r="AT102" s="298">
        <v>0</v>
      </c>
      <c r="AU102" s="299">
        <f>(AT72+AV72/2)*((AT51-AU51)*(1+$BR$45))*Faktory!$D$10</f>
        <v>0</v>
      </c>
      <c r="AV102" s="262">
        <f t="shared" si="372"/>
        <v>0</v>
      </c>
      <c r="AW102" s="298">
        <v>0</v>
      </c>
      <c r="AX102" s="299">
        <f>(AW72+AY72/2)*((AW51-AX51)*(1+$BR$45))*Faktory!$D$10</f>
        <v>0</v>
      </c>
      <c r="AY102" s="262">
        <f t="shared" si="373"/>
        <v>0</v>
      </c>
      <c r="AZ102" s="298">
        <v>0</v>
      </c>
      <c r="BA102" s="299">
        <f>(AZ72+BB72/2)*((AZ51-BA51)*(1+$BR$45))*Faktory!$D$10</f>
        <v>0</v>
      </c>
      <c r="BB102" s="262">
        <f t="shared" si="374"/>
        <v>0</v>
      </c>
      <c r="BC102" s="298">
        <v>0</v>
      </c>
      <c r="BD102" s="299">
        <f>(BC72+BE72/2)*((BC51-BD51)*(1+$BR$45))*Faktory!$D$10</f>
        <v>0</v>
      </c>
      <c r="BE102" s="262">
        <f t="shared" si="375"/>
        <v>0</v>
      </c>
      <c r="BF102" s="298">
        <v>0</v>
      </c>
      <c r="BG102" s="299">
        <f>(BF72+BH72/2)*((BF51-BG51)*(1+$BR$45))*Faktory!$D$10</f>
        <v>0</v>
      </c>
      <c r="BH102" s="262">
        <f t="shared" si="376"/>
        <v>0</v>
      </c>
      <c r="BI102" s="298">
        <v>0</v>
      </c>
      <c r="BJ102" s="299">
        <f>(BI72+BK72/2)*((BI51-BJ51)*(1+$BR$45))*Faktory!$D$10</f>
        <v>0</v>
      </c>
      <c r="BK102" s="262">
        <f t="shared" si="377"/>
        <v>0</v>
      </c>
      <c r="BL102" s="298">
        <v>0</v>
      </c>
      <c r="BM102" s="299">
        <f>(BL72+BN72/2)*((BL51-BM51)*(1+$BR$45))*Faktory!$D$10</f>
        <v>0</v>
      </c>
      <c r="BN102" s="262">
        <f t="shared" si="378"/>
        <v>0</v>
      </c>
      <c r="BO102" s="298">
        <v>0</v>
      </c>
      <c r="BP102" s="299">
        <f>(BO72+BQ72/2)*((BO51-BP51)*(1+$BR$45))*Faktory!$D$10</f>
        <v>0</v>
      </c>
      <c r="BQ102" s="262">
        <f t="shared" si="379"/>
        <v>0</v>
      </c>
    </row>
    <row r="103" spans="1:69">
      <c r="A103" s="787"/>
      <c r="B103" s="789"/>
      <c r="C103" s="290" t="s">
        <v>32</v>
      </c>
      <c r="D103" s="291">
        <f t="shared" si="358"/>
        <v>0</v>
      </c>
      <c r="E103" s="292">
        <f t="shared" si="161"/>
        <v>0</v>
      </c>
      <c r="F103" s="293">
        <f t="shared" si="162"/>
        <v>0</v>
      </c>
      <c r="G103" s="298">
        <v>0</v>
      </c>
      <c r="H103" s="299">
        <f>(G73+I73/2)*((G52-H52)*(1+$BR$45))*Faktory!$D$10</f>
        <v>0</v>
      </c>
      <c r="I103" s="262">
        <f t="shared" si="359"/>
        <v>0</v>
      </c>
      <c r="J103" s="298">
        <v>0</v>
      </c>
      <c r="K103" s="299">
        <f>(J73+L73/2)*((J52-K52)*(1+$BR$45))*Faktory!$D$10</f>
        <v>0</v>
      </c>
      <c r="L103" s="262">
        <f t="shared" si="360"/>
        <v>0</v>
      </c>
      <c r="M103" s="298">
        <v>0</v>
      </c>
      <c r="N103" s="299">
        <f>(M73+O73/2)*((M52-N52)*(1+$BR$45))*Faktory!$D$10</f>
        <v>0</v>
      </c>
      <c r="O103" s="262">
        <f t="shared" si="361"/>
        <v>0</v>
      </c>
      <c r="P103" s="298">
        <v>0</v>
      </c>
      <c r="Q103" s="299">
        <f>(P73+R73/2)*((P52-Q52)*(1+$BR$45))*Faktory!$D$10</f>
        <v>0</v>
      </c>
      <c r="R103" s="262">
        <f t="shared" si="362"/>
        <v>0</v>
      </c>
      <c r="S103" s="298">
        <v>0</v>
      </c>
      <c r="T103" s="299">
        <f>(S73+U73/2)*((S52-T52)*(1+$BR$45))*Faktory!$D$10</f>
        <v>0</v>
      </c>
      <c r="U103" s="262">
        <f t="shared" si="363"/>
        <v>0</v>
      </c>
      <c r="V103" s="298">
        <v>0</v>
      </c>
      <c r="W103" s="299">
        <f>(V73+X73/2)*((V52-W52)*(1+$BR$45))*Faktory!$D$10</f>
        <v>0</v>
      </c>
      <c r="X103" s="262">
        <f t="shared" si="364"/>
        <v>0</v>
      </c>
      <c r="Y103" s="298">
        <v>0</v>
      </c>
      <c r="Z103" s="299">
        <f>(Y73+AA73/2)*((Y52-Z52)*(1+$BR$45))*Faktory!$D$10</f>
        <v>0</v>
      </c>
      <c r="AA103" s="262">
        <f t="shared" si="365"/>
        <v>0</v>
      </c>
      <c r="AB103" s="298">
        <v>0</v>
      </c>
      <c r="AC103" s="299">
        <f>(AB73+AD73/2)*((AB52-AC52)*(1+$BR$45))*Faktory!$D$10</f>
        <v>0</v>
      </c>
      <c r="AD103" s="262">
        <f t="shared" si="366"/>
        <v>0</v>
      </c>
      <c r="AE103" s="298">
        <v>0</v>
      </c>
      <c r="AF103" s="299">
        <f>(AE73+AG73/2)*((AE52-AF52)*(1+$BR$45))*Faktory!$D$10</f>
        <v>0</v>
      </c>
      <c r="AG103" s="262">
        <f t="shared" si="367"/>
        <v>0</v>
      </c>
      <c r="AH103" s="298">
        <v>0</v>
      </c>
      <c r="AI103" s="299">
        <f>(AH73+AJ73/2)*((AH52-AI52)*(1+$BR$45))*Faktory!$D$10</f>
        <v>0</v>
      </c>
      <c r="AJ103" s="262">
        <f t="shared" si="368"/>
        <v>0</v>
      </c>
      <c r="AK103" s="298">
        <v>0</v>
      </c>
      <c r="AL103" s="299">
        <f>(AK73+AM73/2)*((AK52-AL52)*(1+$BR$45))*Faktory!$D$10</f>
        <v>0</v>
      </c>
      <c r="AM103" s="262">
        <f t="shared" si="369"/>
        <v>0</v>
      </c>
      <c r="AN103" s="298">
        <v>0</v>
      </c>
      <c r="AO103" s="299">
        <f>(AN73+AP73/2)*((AN52-AO52)*(1+$BR$45))*Faktory!$D$10</f>
        <v>0</v>
      </c>
      <c r="AP103" s="262">
        <f t="shared" si="370"/>
        <v>0</v>
      </c>
      <c r="AQ103" s="298">
        <v>0</v>
      </c>
      <c r="AR103" s="299">
        <f>(AQ73+AS73/2)*((AQ52-AR52)*(1+$BR$45))*Faktory!$D$10</f>
        <v>0</v>
      </c>
      <c r="AS103" s="262">
        <f t="shared" si="371"/>
        <v>0</v>
      </c>
      <c r="AT103" s="298">
        <v>0</v>
      </c>
      <c r="AU103" s="299">
        <f>(AT73+AV73/2)*((AT52-AU52)*(1+$BR$45))*Faktory!$D$10</f>
        <v>0</v>
      </c>
      <c r="AV103" s="262">
        <f t="shared" si="372"/>
        <v>0</v>
      </c>
      <c r="AW103" s="298">
        <v>0</v>
      </c>
      <c r="AX103" s="299">
        <f>(AW73+AY73/2)*((AW52-AX52)*(1+$BR$45))*Faktory!$D$10</f>
        <v>0</v>
      </c>
      <c r="AY103" s="262">
        <f t="shared" si="373"/>
        <v>0</v>
      </c>
      <c r="AZ103" s="298">
        <v>0</v>
      </c>
      <c r="BA103" s="299">
        <f>(AZ73+BB73/2)*((AZ52-BA52)*(1+$BR$45))*Faktory!$D$10</f>
        <v>0</v>
      </c>
      <c r="BB103" s="262">
        <f t="shared" si="374"/>
        <v>0</v>
      </c>
      <c r="BC103" s="298">
        <v>0</v>
      </c>
      <c r="BD103" s="299">
        <f>(BC73+BE73/2)*((BC52-BD52)*(1+$BR$45))*Faktory!$D$10</f>
        <v>0</v>
      </c>
      <c r="BE103" s="262">
        <f t="shared" si="375"/>
        <v>0</v>
      </c>
      <c r="BF103" s="298">
        <v>0</v>
      </c>
      <c r="BG103" s="299">
        <f>(BF73+BH73/2)*((BF52-BG52)*(1+$BR$45))*Faktory!$D$10</f>
        <v>0</v>
      </c>
      <c r="BH103" s="262">
        <f t="shared" si="376"/>
        <v>0</v>
      </c>
      <c r="BI103" s="298">
        <v>0</v>
      </c>
      <c r="BJ103" s="299">
        <f>(BI73+BK73/2)*((BI52-BJ52)*(1+$BR$45))*Faktory!$D$10</f>
        <v>0</v>
      </c>
      <c r="BK103" s="262">
        <f t="shared" si="377"/>
        <v>0</v>
      </c>
      <c r="BL103" s="298">
        <v>0</v>
      </c>
      <c r="BM103" s="299">
        <f>(BL73+BN73/2)*((BL52-BM52)*(1+$BR$45))*Faktory!$D$10</f>
        <v>0</v>
      </c>
      <c r="BN103" s="262">
        <f t="shared" si="378"/>
        <v>0</v>
      </c>
      <c r="BO103" s="298">
        <v>0</v>
      </c>
      <c r="BP103" s="299">
        <f>(BO73+BQ73/2)*((BO52-BP52)*(1+$BR$45))*Faktory!$D$10</f>
        <v>0</v>
      </c>
      <c r="BQ103" s="262">
        <f t="shared" si="379"/>
        <v>0</v>
      </c>
    </row>
    <row r="104" spans="1:69">
      <c r="A104" s="787"/>
      <c r="B104" s="789"/>
      <c r="C104" s="290" t="s">
        <v>33</v>
      </c>
      <c r="D104" s="291">
        <f t="shared" si="358"/>
        <v>0</v>
      </c>
      <c r="E104" s="292">
        <f t="shared" si="161"/>
        <v>0</v>
      </c>
      <c r="F104" s="293">
        <f t="shared" si="162"/>
        <v>0</v>
      </c>
      <c r="G104" s="298">
        <v>0</v>
      </c>
      <c r="H104" s="299">
        <f>(G74+I74/2)*((G53-H53)*(1+$BR$45))*Faktory!$D$10</f>
        <v>0</v>
      </c>
      <c r="I104" s="262">
        <f t="shared" si="359"/>
        <v>0</v>
      </c>
      <c r="J104" s="298">
        <v>0</v>
      </c>
      <c r="K104" s="299">
        <f>(J74+L74/2)*((J53-K53)*(1+$BR$45))*Faktory!$D$10</f>
        <v>0</v>
      </c>
      <c r="L104" s="262">
        <f t="shared" si="360"/>
        <v>0</v>
      </c>
      <c r="M104" s="298">
        <v>0</v>
      </c>
      <c r="N104" s="299">
        <f>(M74+O74/2)*((M53-N53)*(1+$BR$45))*Faktory!$D$10</f>
        <v>0</v>
      </c>
      <c r="O104" s="262">
        <f t="shared" si="361"/>
        <v>0</v>
      </c>
      <c r="P104" s="298">
        <v>0</v>
      </c>
      <c r="Q104" s="299">
        <f>(P74+R74/2)*((P53-Q53)*(1+$BR$45))*Faktory!$D$10</f>
        <v>0</v>
      </c>
      <c r="R104" s="262">
        <f t="shared" si="362"/>
        <v>0</v>
      </c>
      <c r="S104" s="298">
        <v>0</v>
      </c>
      <c r="T104" s="299">
        <f>(S74+U74/2)*((S53-T53)*(1+$BR$45))*Faktory!$D$10</f>
        <v>0</v>
      </c>
      <c r="U104" s="262">
        <f t="shared" si="363"/>
        <v>0</v>
      </c>
      <c r="V104" s="298">
        <v>0</v>
      </c>
      <c r="W104" s="299">
        <f>(V74+X74/2)*((V53-W53)*(1+$BR$45))*Faktory!$D$10</f>
        <v>0</v>
      </c>
      <c r="X104" s="262">
        <f t="shared" si="364"/>
        <v>0</v>
      </c>
      <c r="Y104" s="298">
        <v>0</v>
      </c>
      <c r="Z104" s="299">
        <f>(Y74+AA74/2)*((Y53-Z53)*(1+$BR$45))*Faktory!$D$10</f>
        <v>0</v>
      </c>
      <c r="AA104" s="262">
        <f t="shared" si="365"/>
        <v>0</v>
      </c>
      <c r="AB104" s="298">
        <v>0</v>
      </c>
      <c r="AC104" s="299">
        <f>(AB74+AD74/2)*((AB53-AC53)*(1+$BR$45))*Faktory!$D$10</f>
        <v>0</v>
      </c>
      <c r="AD104" s="262">
        <f t="shared" si="366"/>
        <v>0</v>
      </c>
      <c r="AE104" s="298">
        <v>0</v>
      </c>
      <c r="AF104" s="299">
        <f>(AE74+AG74/2)*((AE53-AF53)*(1+$BR$45))*Faktory!$D$10</f>
        <v>0</v>
      </c>
      <c r="AG104" s="262">
        <f t="shared" si="367"/>
        <v>0</v>
      </c>
      <c r="AH104" s="298">
        <v>0</v>
      </c>
      <c r="AI104" s="299">
        <f>(AH74+AJ74/2)*((AH53-AI53)*(1+$BR$45))*Faktory!$D$10</f>
        <v>0</v>
      </c>
      <c r="AJ104" s="262">
        <f t="shared" si="368"/>
        <v>0</v>
      </c>
      <c r="AK104" s="298">
        <v>0</v>
      </c>
      <c r="AL104" s="299">
        <f>(AK74+AM74/2)*((AK53-AL53)*(1+$BR$45))*Faktory!$D$10</f>
        <v>0</v>
      </c>
      <c r="AM104" s="262">
        <f t="shared" si="369"/>
        <v>0</v>
      </c>
      <c r="AN104" s="298">
        <v>0</v>
      </c>
      <c r="AO104" s="299">
        <f>(AN74+AP74/2)*((AN53-AO53)*(1+$BR$45))*Faktory!$D$10</f>
        <v>0</v>
      </c>
      <c r="AP104" s="262">
        <f t="shared" si="370"/>
        <v>0</v>
      </c>
      <c r="AQ104" s="298">
        <v>0</v>
      </c>
      <c r="AR104" s="299">
        <f>(AQ74+AS74/2)*((AQ53-AR53)*(1+$BR$45))*Faktory!$D$10</f>
        <v>0</v>
      </c>
      <c r="AS104" s="262">
        <f t="shared" si="371"/>
        <v>0</v>
      </c>
      <c r="AT104" s="298">
        <v>0</v>
      </c>
      <c r="AU104" s="299">
        <f>(AT74+AV74/2)*((AT53-AU53)*(1+$BR$45))*Faktory!$D$10</f>
        <v>0</v>
      </c>
      <c r="AV104" s="262">
        <f t="shared" si="372"/>
        <v>0</v>
      </c>
      <c r="AW104" s="298">
        <v>0</v>
      </c>
      <c r="AX104" s="299">
        <f>(AW74+AY74/2)*((AW53-AX53)*(1+$BR$45))*Faktory!$D$10</f>
        <v>0</v>
      </c>
      <c r="AY104" s="262">
        <f t="shared" si="373"/>
        <v>0</v>
      </c>
      <c r="AZ104" s="298">
        <v>0</v>
      </c>
      <c r="BA104" s="299">
        <f>(AZ74+BB74/2)*((AZ53-BA53)*(1+$BR$45))*Faktory!$D$10</f>
        <v>0</v>
      </c>
      <c r="BB104" s="262">
        <f t="shared" si="374"/>
        <v>0</v>
      </c>
      <c r="BC104" s="298">
        <v>0</v>
      </c>
      <c r="BD104" s="299">
        <f>(BC74+BE74/2)*((BC53-BD53)*(1+$BR$45))*Faktory!$D$10</f>
        <v>0</v>
      </c>
      <c r="BE104" s="262">
        <f t="shared" si="375"/>
        <v>0</v>
      </c>
      <c r="BF104" s="298">
        <v>0</v>
      </c>
      <c r="BG104" s="299">
        <f>(BF74+BH74/2)*((BF53-BG53)*(1+$BR$45))*Faktory!$D$10</f>
        <v>0</v>
      </c>
      <c r="BH104" s="262">
        <f t="shared" si="376"/>
        <v>0</v>
      </c>
      <c r="BI104" s="298">
        <v>0</v>
      </c>
      <c r="BJ104" s="299">
        <f>(BI74+BK74/2)*((BI53-BJ53)*(1+$BR$45))*Faktory!$D$10</f>
        <v>0</v>
      </c>
      <c r="BK104" s="262">
        <f t="shared" si="377"/>
        <v>0</v>
      </c>
      <c r="BL104" s="298">
        <v>0</v>
      </c>
      <c r="BM104" s="299">
        <f>(BL74+BN74/2)*((BL53-BM53)*(1+$BR$45))*Faktory!$D$10</f>
        <v>0</v>
      </c>
      <c r="BN104" s="262">
        <f t="shared" si="378"/>
        <v>0</v>
      </c>
      <c r="BO104" s="298">
        <v>0</v>
      </c>
      <c r="BP104" s="299">
        <f>(BO74+BQ74/2)*((BO53-BP53)*(1+$BR$45))*Faktory!$D$10</f>
        <v>0</v>
      </c>
      <c r="BQ104" s="262">
        <f t="shared" si="379"/>
        <v>0</v>
      </c>
    </row>
    <row r="105" spans="1:69" ht="15.75" thickBot="1">
      <c r="A105" s="788"/>
      <c r="B105" s="790"/>
      <c r="C105" s="300" t="s">
        <v>34</v>
      </c>
      <c r="D105" s="301">
        <f t="shared" si="358"/>
        <v>0</v>
      </c>
      <c r="E105" s="302">
        <f t="shared" si="161"/>
        <v>0</v>
      </c>
      <c r="F105" s="303">
        <f t="shared" si="162"/>
        <v>0</v>
      </c>
      <c r="G105" s="304">
        <v>0</v>
      </c>
      <c r="H105" s="305">
        <f>(G75+I75/2)*((G54-H54)*(1+$BR$45))*Faktory!$D$10</f>
        <v>0</v>
      </c>
      <c r="I105" s="267">
        <f t="shared" si="359"/>
        <v>0</v>
      </c>
      <c r="J105" s="304">
        <v>0</v>
      </c>
      <c r="K105" s="305">
        <f>(J75+L75/2)*((J54-K54)*(1+$BR$45))*Faktory!$D$10</f>
        <v>0</v>
      </c>
      <c r="L105" s="267">
        <f t="shared" si="360"/>
        <v>0</v>
      </c>
      <c r="M105" s="304">
        <v>0</v>
      </c>
      <c r="N105" s="305">
        <f>(M75+O75/2)*((M54-N54)*(1+$BR$45))*Faktory!$D$10</f>
        <v>0</v>
      </c>
      <c r="O105" s="267">
        <f t="shared" si="361"/>
        <v>0</v>
      </c>
      <c r="P105" s="304">
        <v>0</v>
      </c>
      <c r="Q105" s="305">
        <f>(P75+R75/2)*((P54-Q54)*(1+$BR$45))*Faktory!$D$10</f>
        <v>0</v>
      </c>
      <c r="R105" s="267">
        <f t="shared" si="362"/>
        <v>0</v>
      </c>
      <c r="S105" s="304">
        <v>0</v>
      </c>
      <c r="T105" s="305">
        <f>(S75+U75/2)*((S54-T54)*(1+$BR$45))*Faktory!$D$10</f>
        <v>0</v>
      </c>
      <c r="U105" s="267">
        <f t="shared" si="363"/>
        <v>0</v>
      </c>
      <c r="V105" s="304">
        <v>0</v>
      </c>
      <c r="W105" s="305">
        <f>(V75+X75/2)*((V54-W54)*(1+$BR$45))*Faktory!$D$10</f>
        <v>0</v>
      </c>
      <c r="X105" s="267">
        <f t="shared" si="364"/>
        <v>0</v>
      </c>
      <c r="Y105" s="304">
        <v>0</v>
      </c>
      <c r="Z105" s="305">
        <f>(Y75+AA75/2)*((Y54-Z54)*(1+$BR$45))*Faktory!$D$10</f>
        <v>0</v>
      </c>
      <c r="AA105" s="267">
        <f t="shared" si="365"/>
        <v>0</v>
      </c>
      <c r="AB105" s="304">
        <v>0</v>
      </c>
      <c r="AC105" s="305">
        <f>(AB75+AD75/2)*((AB54-AC54)*(1+$BR$45))*Faktory!$D$10</f>
        <v>0</v>
      </c>
      <c r="AD105" s="267">
        <f t="shared" si="366"/>
        <v>0</v>
      </c>
      <c r="AE105" s="304">
        <v>0</v>
      </c>
      <c r="AF105" s="305">
        <f>(AE75+AG75/2)*((AE54-AF54)*(1+$BR$45))*Faktory!$D$10</f>
        <v>0</v>
      </c>
      <c r="AG105" s="267">
        <f t="shared" si="367"/>
        <v>0</v>
      </c>
      <c r="AH105" s="304">
        <v>0</v>
      </c>
      <c r="AI105" s="305">
        <f>(AH75+AJ75/2)*((AH54-AI54)*(1+$BR$45))*Faktory!$D$10</f>
        <v>0</v>
      </c>
      <c r="AJ105" s="267">
        <f t="shared" si="368"/>
        <v>0</v>
      </c>
      <c r="AK105" s="304">
        <v>0</v>
      </c>
      <c r="AL105" s="305">
        <f>(AK75+AM75/2)*((AK54-AL54)*(1+$BR$45))*Faktory!$D$10</f>
        <v>0</v>
      </c>
      <c r="AM105" s="267">
        <f t="shared" si="369"/>
        <v>0</v>
      </c>
      <c r="AN105" s="304">
        <v>0</v>
      </c>
      <c r="AO105" s="305">
        <f>(AN75+AP75/2)*((AN54-AO54)*(1+$BR$45))*Faktory!$D$10</f>
        <v>0</v>
      </c>
      <c r="AP105" s="267">
        <f t="shared" si="370"/>
        <v>0</v>
      </c>
      <c r="AQ105" s="304">
        <v>0</v>
      </c>
      <c r="AR105" s="305">
        <f>(AQ75+AS75/2)*((AQ54-AR54)*(1+$BR$45))*Faktory!$D$10</f>
        <v>0</v>
      </c>
      <c r="AS105" s="267">
        <f t="shared" si="371"/>
        <v>0</v>
      </c>
      <c r="AT105" s="304">
        <v>0</v>
      </c>
      <c r="AU105" s="305">
        <f>(AT75+AV75/2)*((AT54-AU54)*(1+$BR$45))*Faktory!$D$10</f>
        <v>0</v>
      </c>
      <c r="AV105" s="267">
        <f t="shared" si="372"/>
        <v>0</v>
      </c>
      <c r="AW105" s="304">
        <v>0</v>
      </c>
      <c r="AX105" s="305">
        <f>(AW75+AY75/2)*((AW54-AX54)*(1+$BR$45))*Faktory!$D$10</f>
        <v>0</v>
      </c>
      <c r="AY105" s="267">
        <f t="shared" si="373"/>
        <v>0</v>
      </c>
      <c r="AZ105" s="304">
        <v>0</v>
      </c>
      <c r="BA105" s="305">
        <f>(AZ75+BB75/2)*((AZ54-BA54)*(1+$BR$45))*Faktory!$D$10</f>
        <v>0</v>
      </c>
      <c r="BB105" s="267">
        <f t="shared" si="374"/>
        <v>0</v>
      </c>
      <c r="BC105" s="304">
        <v>0</v>
      </c>
      <c r="BD105" s="305">
        <f>(BC75+BE75/2)*((BC54-BD54)*(1+$BR$45))*Faktory!$D$10</f>
        <v>0</v>
      </c>
      <c r="BE105" s="267">
        <f t="shared" si="375"/>
        <v>0</v>
      </c>
      <c r="BF105" s="304">
        <v>0</v>
      </c>
      <c r="BG105" s="305">
        <f>(BF75+BH75/2)*((BF54-BG54)*(1+$BR$45))*Faktory!$D$10</f>
        <v>0</v>
      </c>
      <c r="BH105" s="267">
        <f t="shared" si="376"/>
        <v>0</v>
      </c>
      <c r="BI105" s="304">
        <v>0</v>
      </c>
      <c r="BJ105" s="305">
        <f>(BI75+BK75/2)*((BI54-BJ54)*(1+$BR$45))*Faktory!$D$10</f>
        <v>0</v>
      </c>
      <c r="BK105" s="267">
        <f t="shared" si="377"/>
        <v>0</v>
      </c>
      <c r="BL105" s="304">
        <v>0</v>
      </c>
      <c r="BM105" s="305">
        <f>(BL75+BN75/2)*((BL54-BM54)*(1+$BR$45))*Faktory!$D$10</f>
        <v>0</v>
      </c>
      <c r="BN105" s="267">
        <f t="shared" si="378"/>
        <v>0</v>
      </c>
      <c r="BO105" s="304">
        <v>0</v>
      </c>
      <c r="BP105" s="305">
        <f>(BO75+BQ75/2)*((BO54-BP54)*(1+$BR$45))*Faktory!$D$10</f>
        <v>0</v>
      </c>
      <c r="BQ105" s="267">
        <f t="shared" si="379"/>
        <v>0</v>
      </c>
    </row>
    <row r="106" spans="1:69">
      <c r="A106" s="787" t="s">
        <v>149</v>
      </c>
      <c r="B106" s="789" t="s">
        <v>13</v>
      </c>
      <c r="C106" s="290" t="s">
        <v>25</v>
      </c>
      <c r="D106" s="291">
        <f t="shared" si="358"/>
        <v>0</v>
      </c>
      <c r="E106" s="292">
        <f t="shared" si="161"/>
        <v>0</v>
      </c>
      <c r="F106" s="293">
        <f>E106-D106</f>
        <v>0</v>
      </c>
      <c r="G106" s="306">
        <f t="shared" ref="G106:H115" si="380">G5*G15</f>
        <v>0</v>
      </c>
      <c r="H106" s="307">
        <f t="shared" si="380"/>
        <v>0</v>
      </c>
      <c r="I106" s="257">
        <f>H106-G106</f>
        <v>0</v>
      </c>
      <c r="J106" s="306">
        <f t="shared" ref="J106:K106" si="381">J5*J15</f>
        <v>0</v>
      </c>
      <c r="K106" s="307">
        <f t="shared" si="381"/>
        <v>0</v>
      </c>
      <c r="L106" s="257">
        <f>K106-J106</f>
        <v>0</v>
      </c>
      <c r="M106" s="306">
        <f t="shared" ref="M106:N106" si="382">M5*M15</f>
        <v>0</v>
      </c>
      <c r="N106" s="307">
        <f t="shared" si="382"/>
        <v>0</v>
      </c>
      <c r="O106" s="257">
        <f>N106-M106</f>
        <v>0</v>
      </c>
      <c r="P106" s="306">
        <f t="shared" ref="P106:Q106" si="383">P5*P15</f>
        <v>0</v>
      </c>
      <c r="Q106" s="307">
        <f t="shared" si="383"/>
        <v>0</v>
      </c>
      <c r="R106" s="257">
        <f t="shared" ref="R106:R115" si="384">Q106-P106</f>
        <v>0</v>
      </c>
      <c r="S106" s="306">
        <f t="shared" ref="S106:T106" si="385">S5*S15</f>
        <v>0</v>
      </c>
      <c r="T106" s="307">
        <f t="shared" si="385"/>
        <v>0</v>
      </c>
      <c r="U106" s="257">
        <f t="shared" ref="U106:U115" si="386">T106-S106</f>
        <v>0</v>
      </c>
      <c r="V106" s="306">
        <f t="shared" ref="V106:W106" si="387">V5*V15</f>
        <v>0</v>
      </c>
      <c r="W106" s="307">
        <f t="shared" si="387"/>
        <v>0</v>
      </c>
      <c r="X106" s="257">
        <f t="shared" ref="X106:X115" si="388">W106-V106</f>
        <v>0</v>
      </c>
      <c r="Y106" s="306">
        <f t="shared" ref="Y106:Z106" si="389">Y5*Y15</f>
        <v>0</v>
      </c>
      <c r="Z106" s="307">
        <f t="shared" si="389"/>
        <v>0</v>
      </c>
      <c r="AA106" s="257">
        <f>Z106-Y106</f>
        <v>0</v>
      </c>
      <c r="AB106" s="306">
        <f t="shared" ref="AB106:AC106" si="390">AB5*AB15</f>
        <v>0</v>
      </c>
      <c r="AC106" s="307">
        <f t="shared" si="390"/>
        <v>0</v>
      </c>
      <c r="AD106" s="257">
        <f>AC106-AB106</f>
        <v>0</v>
      </c>
      <c r="AE106" s="306">
        <f t="shared" ref="AE106:AF106" si="391">AE5*AE15</f>
        <v>0</v>
      </c>
      <c r="AF106" s="307">
        <f t="shared" si="391"/>
        <v>0</v>
      </c>
      <c r="AG106" s="257">
        <f t="shared" ref="AG106:AG115" si="392">AF106-AE106</f>
        <v>0</v>
      </c>
      <c r="AH106" s="306">
        <f t="shared" ref="AH106:AI106" si="393">AH5*AH15</f>
        <v>0</v>
      </c>
      <c r="AI106" s="307">
        <f t="shared" si="393"/>
        <v>0</v>
      </c>
      <c r="AJ106" s="257">
        <f t="shared" ref="AJ106:AJ115" si="394">AI106-AH106</f>
        <v>0</v>
      </c>
      <c r="AK106" s="306">
        <f t="shared" ref="AK106:AL106" si="395">AK5*AK15</f>
        <v>0</v>
      </c>
      <c r="AL106" s="307">
        <f t="shared" si="395"/>
        <v>0</v>
      </c>
      <c r="AM106" s="257">
        <f t="shared" ref="AM106:AM115" si="396">AL106-AK106</f>
        <v>0</v>
      </c>
      <c r="AN106" s="306">
        <f t="shared" ref="AN106:AO106" si="397">AN5*AN15</f>
        <v>0</v>
      </c>
      <c r="AO106" s="307">
        <f t="shared" si="397"/>
        <v>0</v>
      </c>
      <c r="AP106" s="257">
        <f>AO106-AN106</f>
        <v>0</v>
      </c>
      <c r="AQ106" s="306">
        <f t="shared" ref="AQ106:AR106" si="398">AQ5*AQ15</f>
        <v>0</v>
      </c>
      <c r="AR106" s="307">
        <f t="shared" si="398"/>
        <v>0</v>
      </c>
      <c r="AS106" s="257">
        <f>AR106-AQ106</f>
        <v>0</v>
      </c>
      <c r="AT106" s="306">
        <f t="shared" ref="AT106:AU106" si="399">AT5*AT15</f>
        <v>0</v>
      </c>
      <c r="AU106" s="307">
        <f t="shared" si="399"/>
        <v>0</v>
      </c>
      <c r="AV106" s="257">
        <f t="shared" ref="AV106:AV115" si="400">AU106-AT106</f>
        <v>0</v>
      </c>
      <c r="AW106" s="306">
        <f t="shared" ref="AW106:AX106" si="401">AW5*AW15</f>
        <v>0</v>
      </c>
      <c r="AX106" s="307">
        <f t="shared" si="401"/>
        <v>0</v>
      </c>
      <c r="AY106" s="257">
        <f t="shared" ref="AY106:AY115" si="402">AX106-AW106</f>
        <v>0</v>
      </c>
      <c r="AZ106" s="306">
        <f t="shared" ref="AZ106:BA106" si="403">AZ5*AZ15</f>
        <v>0</v>
      </c>
      <c r="BA106" s="307">
        <f t="shared" si="403"/>
        <v>0</v>
      </c>
      <c r="BB106" s="257">
        <f t="shared" ref="BB106:BB115" si="404">BA106-AZ106</f>
        <v>0</v>
      </c>
      <c r="BC106" s="306">
        <f t="shared" ref="BC106:BD106" si="405">BC5*BC15</f>
        <v>0</v>
      </c>
      <c r="BD106" s="307">
        <f t="shared" si="405"/>
        <v>0</v>
      </c>
      <c r="BE106" s="257">
        <f>BD106-BC106</f>
        <v>0</v>
      </c>
      <c r="BF106" s="306">
        <f t="shared" ref="BF106:BG106" si="406">BF5*BF15</f>
        <v>0</v>
      </c>
      <c r="BG106" s="307">
        <f t="shared" si="406"/>
        <v>0</v>
      </c>
      <c r="BH106" s="257">
        <f>BG106-BF106</f>
        <v>0</v>
      </c>
      <c r="BI106" s="306">
        <f t="shared" ref="BI106:BJ115" si="407">BI5*BI15</f>
        <v>0</v>
      </c>
      <c r="BJ106" s="307">
        <f t="shared" si="407"/>
        <v>0</v>
      </c>
      <c r="BK106" s="257">
        <f t="shared" ref="BK106:BK115" si="408">BJ106-BI106</f>
        <v>0</v>
      </c>
      <c r="BL106" s="306">
        <f t="shared" ref="BL106:BM115" si="409">BL5*BL15</f>
        <v>0</v>
      </c>
      <c r="BM106" s="307">
        <f t="shared" si="409"/>
        <v>0</v>
      </c>
      <c r="BN106" s="257">
        <f t="shared" ref="BN106:BN115" si="410">BM106-BL106</f>
        <v>0</v>
      </c>
      <c r="BO106" s="306">
        <f t="shared" ref="BO106:BP115" si="411">BO5*BO15</f>
        <v>0</v>
      </c>
      <c r="BP106" s="307">
        <f t="shared" si="411"/>
        <v>0</v>
      </c>
      <c r="BQ106" s="257">
        <f t="shared" ref="BQ106:BQ115" si="412">BP106-BO106</f>
        <v>0</v>
      </c>
    </row>
    <row r="107" spans="1:69">
      <c r="A107" s="787"/>
      <c r="B107" s="789"/>
      <c r="C107" s="290" t="s">
        <v>26</v>
      </c>
      <c r="D107" s="291">
        <f t="shared" si="358"/>
        <v>0</v>
      </c>
      <c r="E107" s="292">
        <f t="shared" si="161"/>
        <v>0</v>
      </c>
      <c r="F107" s="293">
        <f t="shared" ref="F107:F115" si="413">E107-D107</f>
        <v>0</v>
      </c>
      <c r="G107" s="298">
        <f t="shared" si="380"/>
        <v>0</v>
      </c>
      <c r="H107" s="299">
        <f t="shared" si="380"/>
        <v>0</v>
      </c>
      <c r="I107" s="262">
        <f t="shared" ref="I107:I115" si="414">H107-G107</f>
        <v>0</v>
      </c>
      <c r="J107" s="298">
        <f t="shared" ref="J107:K107" si="415">J6*J16</f>
        <v>0</v>
      </c>
      <c r="K107" s="299">
        <f t="shared" si="415"/>
        <v>0</v>
      </c>
      <c r="L107" s="262">
        <f t="shared" ref="L107:L115" si="416">K107-J107</f>
        <v>0</v>
      </c>
      <c r="M107" s="298">
        <f t="shared" ref="M107:N107" si="417">M6*M16</f>
        <v>0</v>
      </c>
      <c r="N107" s="299">
        <f t="shared" si="417"/>
        <v>0</v>
      </c>
      <c r="O107" s="262">
        <f t="shared" ref="O107:O115" si="418">N107-M107</f>
        <v>0</v>
      </c>
      <c r="P107" s="298">
        <f t="shared" ref="P107:Q107" si="419">P6*P16</f>
        <v>0</v>
      </c>
      <c r="Q107" s="299">
        <f t="shared" si="419"/>
        <v>0</v>
      </c>
      <c r="R107" s="262">
        <f t="shared" si="384"/>
        <v>0</v>
      </c>
      <c r="S107" s="298">
        <f t="shared" ref="S107:T107" si="420">S6*S16</f>
        <v>0</v>
      </c>
      <c r="T107" s="299">
        <f t="shared" si="420"/>
        <v>0</v>
      </c>
      <c r="U107" s="262">
        <f t="shared" si="386"/>
        <v>0</v>
      </c>
      <c r="V107" s="298">
        <f t="shared" ref="V107:W107" si="421">V6*V16</f>
        <v>0</v>
      </c>
      <c r="W107" s="299">
        <f t="shared" si="421"/>
        <v>0</v>
      </c>
      <c r="X107" s="262">
        <f t="shared" si="388"/>
        <v>0</v>
      </c>
      <c r="Y107" s="298">
        <f t="shared" ref="Y107:Z107" si="422">Y6*Y16</f>
        <v>0</v>
      </c>
      <c r="Z107" s="299">
        <f t="shared" si="422"/>
        <v>0</v>
      </c>
      <c r="AA107" s="262">
        <f t="shared" ref="AA107:AA115" si="423">Z107-Y107</f>
        <v>0</v>
      </c>
      <c r="AB107" s="298">
        <f t="shared" ref="AB107:AC107" si="424">AB6*AB16</f>
        <v>0</v>
      </c>
      <c r="AC107" s="299">
        <f t="shared" si="424"/>
        <v>0</v>
      </c>
      <c r="AD107" s="262">
        <f t="shared" ref="AD107:AD115" si="425">AC107-AB107</f>
        <v>0</v>
      </c>
      <c r="AE107" s="298">
        <f t="shared" ref="AE107:AF107" si="426">AE6*AE16</f>
        <v>0</v>
      </c>
      <c r="AF107" s="299">
        <f t="shared" si="426"/>
        <v>0</v>
      </c>
      <c r="AG107" s="262">
        <f t="shared" si="392"/>
        <v>0</v>
      </c>
      <c r="AH107" s="298">
        <f t="shared" ref="AH107:AI107" si="427">AH6*AH16</f>
        <v>0</v>
      </c>
      <c r="AI107" s="299">
        <f t="shared" si="427"/>
        <v>0</v>
      </c>
      <c r="AJ107" s="262">
        <f t="shared" si="394"/>
        <v>0</v>
      </c>
      <c r="AK107" s="298">
        <f t="shared" ref="AK107:AL107" si="428">AK6*AK16</f>
        <v>0</v>
      </c>
      <c r="AL107" s="299">
        <f t="shared" si="428"/>
        <v>0</v>
      </c>
      <c r="AM107" s="262">
        <f t="shared" si="396"/>
        <v>0</v>
      </c>
      <c r="AN107" s="298">
        <f t="shared" ref="AN107:AO107" si="429">AN6*AN16</f>
        <v>0</v>
      </c>
      <c r="AO107" s="299">
        <f t="shared" si="429"/>
        <v>0</v>
      </c>
      <c r="AP107" s="262">
        <f t="shared" ref="AP107:AP115" si="430">AO107-AN107</f>
        <v>0</v>
      </c>
      <c r="AQ107" s="298">
        <f t="shared" ref="AQ107:AR107" si="431">AQ6*AQ16</f>
        <v>0</v>
      </c>
      <c r="AR107" s="299">
        <f t="shared" si="431"/>
        <v>0</v>
      </c>
      <c r="AS107" s="262">
        <f t="shared" ref="AS107:AS115" si="432">AR107-AQ107</f>
        <v>0</v>
      </c>
      <c r="AT107" s="298">
        <f t="shared" ref="AT107:AU107" si="433">AT6*AT16</f>
        <v>0</v>
      </c>
      <c r="AU107" s="299">
        <f t="shared" si="433"/>
        <v>0</v>
      </c>
      <c r="AV107" s="262">
        <f t="shared" si="400"/>
        <v>0</v>
      </c>
      <c r="AW107" s="298">
        <f t="shared" ref="AW107:AX107" si="434">AW6*AW16</f>
        <v>0</v>
      </c>
      <c r="AX107" s="299">
        <f t="shared" si="434"/>
        <v>0</v>
      </c>
      <c r="AY107" s="262">
        <f t="shared" si="402"/>
        <v>0</v>
      </c>
      <c r="AZ107" s="298">
        <f t="shared" ref="AZ107:BA107" si="435">AZ6*AZ16</f>
        <v>0</v>
      </c>
      <c r="BA107" s="299">
        <f t="shared" si="435"/>
        <v>0</v>
      </c>
      <c r="BB107" s="262">
        <f t="shared" si="404"/>
        <v>0</v>
      </c>
      <c r="BC107" s="298">
        <f t="shared" ref="BC107:BD107" si="436">BC6*BC16</f>
        <v>0</v>
      </c>
      <c r="BD107" s="299">
        <f t="shared" si="436"/>
        <v>0</v>
      </c>
      <c r="BE107" s="262">
        <f t="shared" ref="BE107:BE115" si="437">BD107-BC107</f>
        <v>0</v>
      </c>
      <c r="BF107" s="298">
        <f t="shared" ref="BF107:BG107" si="438">BF6*BF16</f>
        <v>0</v>
      </c>
      <c r="BG107" s="299">
        <f t="shared" si="438"/>
        <v>0</v>
      </c>
      <c r="BH107" s="262">
        <f t="shared" ref="BH107:BH115" si="439">BG107-BF107</f>
        <v>0</v>
      </c>
      <c r="BI107" s="298">
        <f t="shared" si="407"/>
        <v>0</v>
      </c>
      <c r="BJ107" s="299">
        <f t="shared" si="407"/>
        <v>0</v>
      </c>
      <c r="BK107" s="262">
        <f t="shared" si="408"/>
        <v>0</v>
      </c>
      <c r="BL107" s="298">
        <f t="shared" si="409"/>
        <v>0</v>
      </c>
      <c r="BM107" s="299">
        <f t="shared" si="409"/>
        <v>0</v>
      </c>
      <c r="BN107" s="262">
        <f t="shared" si="410"/>
        <v>0</v>
      </c>
      <c r="BO107" s="298">
        <f t="shared" si="411"/>
        <v>0</v>
      </c>
      <c r="BP107" s="299">
        <f t="shared" si="411"/>
        <v>0</v>
      </c>
      <c r="BQ107" s="262">
        <f t="shared" si="412"/>
        <v>0</v>
      </c>
    </row>
    <row r="108" spans="1:69">
      <c r="A108" s="787"/>
      <c r="B108" s="789"/>
      <c r="C108" s="290" t="s">
        <v>27</v>
      </c>
      <c r="D108" s="291">
        <f t="shared" si="358"/>
        <v>0</v>
      </c>
      <c r="E108" s="292">
        <f t="shared" si="161"/>
        <v>0</v>
      </c>
      <c r="F108" s="293">
        <f t="shared" si="413"/>
        <v>0</v>
      </c>
      <c r="G108" s="298">
        <f t="shared" si="380"/>
        <v>0</v>
      </c>
      <c r="H108" s="299">
        <f t="shared" si="380"/>
        <v>0</v>
      </c>
      <c r="I108" s="262">
        <f t="shared" si="414"/>
        <v>0</v>
      </c>
      <c r="J108" s="298">
        <f t="shared" ref="J108:K108" si="440">J7*J17</f>
        <v>0</v>
      </c>
      <c r="K108" s="299">
        <f t="shared" si="440"/>
        <v>0</v>
      </c>
      <c r="L108" s="262">
        <f t="shared" si="416"/>
        <v>0</v>
      </c>
      <c r="M108" s="298">
        <f t="shared" ref="M108:N108" si="441">M7*M17</f>
        <v>0</v>
      </c>
      <c r="N108" s="299">
        <f t="shared" si="441"/>
        <v>0</v>
      </c>
      <c r="O108" s="262">
        <f t="shared" si="418"/>
        <v>0</v>
      </c>
      <c r="P108" s="298">
        <f t="shared" ref="P108:Q108" si="442">P7*P17</f>
        <v>0</v>
      </c>
      <c r="Q108" s="299">
        <f t="shared" si="442"/>
        <v>0</v>
      </c>
      <c r="R108" s="262">
        <f t="shared" si="384"/>
        <v>0</v>
      </c>
      <c r="S108" s="298">
        <f t="shared" ref="S108:T108" si="443">S7*S17</f>
        <v>0</v>
      </c>
      <c r="T108" s="299">
        <f t="shared" si="443"/>
        <v>0</v>
      </c>
      <c r="U108" s="262">
        <f t="shared" si="386"/>
        <v>0</v>
      </c>
      <c r="V108" s="298">
        <f t="shared" ref="V108:W108" si="444">V7*V17</f>
        <v>0</v>
      </c>
      <c r="W108" s="299">
        <f t="shared" si="444"/>
        <v>0</v>
      </c>
      <c r="X108" s="262">
        <f t="shared" si="388"/>
        <v>0</v>
      </c>
      <c r="Y108" s="298">
        <f t="shared" ref="Y108:Z108" si="445">Y7*Y17</f>
        <v>0</v>
      </c>
      <c r="Z108" s="299">
        <f t="shared" si="445"/>
        <v>0</v>
      </c>
      <c r="AA108" s="262">
        <f t="shared" si="423"/>
        <v>0</v>
      </c>
      <c r="AB108" s="298">
        <f t="shared" ref="AB108:AC108" si="446">AB7*AB17</f>
        <v>0</v>
      </c>
      <c r="AC108" s="299">
        <f t="shared" si="446"/>
        <v>0</v>
      </c>
      <c r="AD108" s="262">
        <f t="shared" si="425"/>
        <v>0</v>
      </c>
      <c r="AE108" s="298">
        <f t="shared" ref="AE108:AF108" si="447">AE7*AE17</f>
        <v>0</v>
      </c>
      <c r="AF108" s="299">
        <f t="shared" si="447"/>
        <v>0</v>
      </c>
      <c r="AG108" s="262">
        <f t="shared" si="392"/>
        <v>0</v>
      </c>
      <c r="AH108" s="298">
        <f t="shared" ref="AH108:AI108" si="448">AH7*AH17</f>
        <v>0</v>
      </c>
      <c r="AI108" s="299">
        <f t="shared" si="448"/>
        <v>0</v>
      </c>
      <c r="AJ108" s="262">
        <f t="shared" si="394"/>
        <v>0</v>
      </c>
      <c r="AK108" s="298">
        <f t="shared" ref="AK108:AL108" si="449">AK7*AK17</f>
        <v>0</v>
      </c>
      <c r="AL108" s="299">
        <f t="shared" si="449"/>
        <v>0</v>
      </c>
      <c r="AM108" s="262">
        <f t="shared" si="396"/>
        <v>0</v>
      </c>
      <c r="AN108" s="298">
        <f t="shared" ref="AN108:AO108" si="450">AN7*AN17</f>
        <v>0</v>
      </c>
      <c r="AO108" s="299">
        <f t="shared" si="450"/>
        <v>0</v>
      </c>
      <c r="AP108" s="262">
        <f t="shared" si="430"/>
        <v>0</v>
      </c>
      <c r="AQ108" s="298">
        <f t="shared" ref="AQ108:AR108" si="451">AQ7*AQ17</f>
        <v>0</v>
      </c>
      <c r="AR108" s="299">
        <f t="shared" si="451"/>
        <v>0</v>
      </c>
      <c r="AS108" s="262">
        <f t="shared" si="432"/>
        <v>0</v>
      </c>
      <c r="AT108" s="298">
        <f t="shared" ref="AT108:AU108" si="452">AT7*AT17</f>
        <v>0</v>
      </c>
      <c r="AU108" s="299">
        <f t="shared" si="452"/>
        <v>0</v>
      </c>
      <c r="AV108" s="262">
        <f t="shared" si="400"/>
        <v>0</v>
      </c>
      <c r="AW108" s="298">
        <f t="shared" ref="AW108:AX108" si="453">AW7*AW17</f>
        <v>0</v>
      </c>
      <c r="AX108" s="299">
        <f t="shared" si="453"/>
        <v>0</v>
      </c>
      <c r="AY108" s="262">
        <f t="shared" si="402"/>
        <v>0</v>
      </c>
      <c r="AZ108" s="298">
        <f t="shared" ref="AZ108:BA108" si="454">AZ7*AZ17</f>
        <v>0</v>
      </c>
      <c r="BA108" s="299">
        <f t="shared" si="454"/>
        <v>0</v>
      </c>
      <c r="BB108" s="262">
        <f t="shared" si="404"/>
        <v>0</v>
      </c>
      <c r="BC108" s="298">
        <f t="shared" ref="BC108:BD108" si="455">BC7*BC17</f>
        <v>0</v>
      </c>
      <c r="BD108" s="299">
        <f t="shared" si="455"/>
        <v>0</v>
      </c>
      <c r="BE108" s="262">
        <f t="shared" si="437"/>
        <v>0</v>
      </c>
      <c r="BF108" s="298">
        <f t="shared" ref="BF108:BG108" si="456">BF7*BF17</f>
        <v>0</v>
      </c>
      <c r="BG108" s="299">
        <f t="shared" si="456"/>
        <v>0</v>
      </c>
      <c r="BH108" s="262">
        <f t="shared" si="439"/>
        <v>0</v>
      </c>
      <c r="BI108" s="298">
        <f t="shared" si="407"/>
        <v>0</v>
      </c>
      <c r="BJ108" s="299">
        <f t="shared" si="407"/>
        <v>0</v>
      </c>
      <c r="BK108" s="262">
        <f t="shared" si="408"/>
        <v>0</v>
      </c>
      <c r="BL108" s="298">
        <f t="shared" si="409"/>
        <v>0</v>
      </c>
      <c r="BM108" s="299">
        <f t="shared" si="409"/>
        <v>0</v>
      </c>
      <c r="BN108" s="262">
        <f t="shared" si="410"/>
        <v>0</v>
      </c>
      <c r="BO108" s="298">
        <f t="shared" si="411"/>
        <v>0</v>
      </c>
      <c r="BP108" s="299">
        <f t="shared" si="411"/>
        <v>0</v>
      </c>
      <c r="BQ108" s="262">
        <f t="shared" si="412"/>
        <v>0</v>
      </c>
    </row>
    <row r="109" spans="1:69">
      <c r="A109" s="787"/>
      <c r="B109" s="789"/>
      <c r="C109" s="290" t="s">
        <v>28</v>
      </c>
      <c r="D109" s="291">
        <f t="shared" si="358"/>
        <v>0</v>
      </c>
      <c r="E109" s="292">
        <f t="shared" si="161"/>
        <v>0</v>
      </c>
      <c r="F109" s="293">
        <f t="shared" si="413"/>
        <v>0</v>
      </c>
      <c r="G109" s="298">
        <f t="shared" si="380"/>
        <v>0</v>
      </c>
      <c r="H109" s="299">
        <f t="shared" si="380"/>
        <v>0</v>
      </c>
      <c r="I109" s="262">
        <f t="shared" si="414"/>
        <v>0</v>
      </c>
      <c r="J109" s="298">
        <f t="shared" ref="J109:K109" si="457">J8*J18</f>
        <v>0</v>
      </c>
      <c r="K109" s="299">
        <f t="shared" si="457"/>
        <v>0</v>
      </c>
      <c r="L109" s="262">
        <f t="shared" si="416"/>
        <v>0</v>
      </c>
      <c r="M109" s="298">
        <f t="shared" ref="M109:N109" si="458">M8*M18</f>
        <v>0</v>
      </c>
      <c r="N109" s="299">
        <f t="shared" si="458"/>
        <v>0</v>
      </c>
      <c r="O109" s="262">
        <f t="shared" si="418"/>
        <v>0</v>
      </c>
      <c r="P109" s="298">
        <f t="shared" ref="P109:Q109" si="459">P8*P18</f>
        <v>0</v>
      </c>
      <c r="Q109" s="299">
        <f t="shared" si="459"/>
        <v>0</v>
      </c>
      <c r="R109" s="262">
        <f t="shared" si="384"/>
        <v>0</v>
      </c>
      <c r="S109" s="298">
        <f t="shared" ref="S109:T109" si="460">S8*S18</f>
        <v>0</v>
      </c>
      <c r="T109" s="299">
        <f t="shared" si="460"/>
        <v>0</v>
      </c>
      <c r="U109" s="262">
        <f t="shared" si="386"/>
        <v>0</v>
      </c>
      <c r="V109" s="298">
        <f t="shared" ref="V109:W109" si="461">V8*V18</f>
        <v>0</v>
      </c>
      <c r="W109" s="299">
        <f t="shared" si="461"/>
        <v>0</v>
      </c>
      <c r="X109" s="262">
        <f t="shared" si="388"/>
        <v>0</v>
      </c>
      <c r="Y109" s="298">
        <f t="shared" ref="Y109:Z109" si="462">Y8*Y18</f>
        <v>0</v>
      </c>
      <c r="Z109" s="299">
        <f t="shared" si="462"/>
        <v>0</v>
      </c>
      <c r="AA109" s="262">
        <f t="shared" si="423"/>
        <v>0</v>
      </c>
      <c r="AB109" s="298">
        <f t="shared" ref="AB109:AC109" si="463">AB8*AB18</f>
        <v>0</v>
      </c>
      <c r="AC109" s="299">
        <f t="shared" si="463"/>
        <v>0</v>
      </c>
      <c r="AD109" s="262">
        <f t="shared" si="425"/>
        <v>0</v>
      </c>
      <c r="AE109" s="298">
        <f t="shared" ref="AE109:AF109" si="464">AE8*AE18</f>
        <v>0</v>
      </c>
      <c r="AF109" s="299">
        <f t="shared" si="464"/>
        <v>0</v>
      </c>
      <c r="AG109" s="262">
        <f t="shared" si="392"/>
        <v>0</v>
      </c>
      <c r="AH109" s="298">
        <f t="shared" ref="AH109:AI109" si="465">AH8*AH18</f>
        <v>0</v>
      </c>
      <c r="AI109" s="299">
        <f t="shared" si="465"/>
        <v>0</v>
      </c>
      <c r="AJ109" s="262">
        <f t="shared" si="394"/>
        <v>0</v>
      </c>
      <c r="AK109" s="298">
        <f t="shared" ref="AK109:AL109" si="466">AK8*AK18</f>
        <v>0</v>
      </c>
      <c r="AL109" s="299">
        <f t="shared" si="466"/>
        <v>0</v>
      </c>
      <c r="AM109" s="262">
        <f t="shared" si="396"/>
        <v>0</v>
      </c>
      <c r="AN109" s="298">
        <f t="shared" ref="AN109:AO109" si="467">AN8*AN18</f>
        <v>0</v>
      </c>
      <c r="AO109" s="299">
        <f t="shared" si="467"/>
        <v>0</v>
      </c>
      <c r="AP109" s="262">
        <f t="shared" si="430"/>
        <v>0</v>
      </c>
      <c r="AQ109" s="298">
        <f t="shared" ref="AQ109:AR109" si="468">AQ8*AQ18</f>
        <v>0</v>
      </c>
      <c r="AR109" s="299">
        <f t="shared" si="468"/>
        <v>0</v>
      </c>
      <c r="AS109" s="262">
        <f t="shared" si="432"/>
        <v>0</v>
      </c>
      <c r="AT109" s="298">
        <f t="shared" ref="AT109:AU109" si="469">AT8*AT18</f>
        <v>0</v>
      </c>
      <c r="AU109" s="299">
        <f t="shared" si="469"/>
        <v>0</v>
      </c>
      <c r="AV109" s="262">
        <f t="shared" si="400"/>
        <v>0</v>
      </c>
      <c r="AW109" s="298">
        <f t="shared" ref="AW109:AX109" si="470">AW8*AW18</f>
        <v>0</v>
      </c>
      <c r="AX109" s="299">
        <f t="shared" si="470"/>
        <v>0</v>
      </c>
      <c r="AY109" s="262">
        <f t="shared" si="402"/>
        <v>0</v>
      </c>
      <c r="AZ109" s="298">
        <f t="shared" ref="AZ109:BA109" si="471">AZ8*AZ18</f>
        <v>0</v>
      </c>
      <c r="BA109" s="299">
        <f t="shared" si="471"/>
        <v>0</v>
      </c>
      <c r="BB109" s="262">
        <f t="shared" si="404"/>
        <v>0</v>
      </c>
      <c r="BC109" s="298">
        <f t="shared" ref="BC109:BD109" si="472">BC8*BC18</f>
        <v>0</v>
      </c>
      <c r="BD109" s="299">
        <f t="shared" si="472"/>
        <v>0</v>
      </c>
      <c r="BE109" s="262">
        <f t="shared" si="437"/>
        <v>0</v>
      </c>
      <c r="BF109" s="298">
        <f t="shared" ref="BF109:BG109" si="473">BF8*BF18</f>
        <v>0</v>
      </c>
      <c r="BG109" s="299">
        <f t="shared" si="473"/>
        <v>0</v>
      </c>
      <c r="BH109" s="262">
        <f t="shared" si="439"/>
        <v>0</v>
      </c>
      <c r="BI109" s="298">
        <f t="shared" si="407"/>
        <v>0</v>
      </c>
      <c r="BJ109" s="299">
        <f t="shared" si="407"/>
        <v>0</v>
      </c>
      <c r="BK109" s="262">
        <f t="shared" si="408"/>
        <v>0</v>
      </c>
      <c r="BL109" s="298">
        <f t="shared" si="409"/>
        <v>0</v>
      </c>
      <c r="BM109" s="299">
        <f t="shared" si="409"/>
        <v>0</v>
      </c>
      <c r="BN109" s="262">
        <f t="shared" si="410"/>
        <v>0</v>
      </c>
      <c r="BO109" s="298">
        <f t="shared" si="411"/>
        <v>0</v>
      </c>
      <c r="BP109" s="299">
        <f t="shared" si="411"/>
        <v>0</v>
      </c>
      <c r="BQ109" s="262">
        <f t="shared" si="412"/>
        <v>0</v>
      </c>
    </row>
    <row r="110" spans="1:69">
      <c r="A110" s="787"/>
      <c r="B110" s="789"/>
      <c r="C110" s="290" t="s">
        <v>29</v>
      </c>
      <c r="D110" s="291">
        <f t="shared" si="358"/>
        <v>0</v>
      </c>
      <c r="E110" s="292">
        <f t="shared" si="161"/>
        <v>0</v>
      </c>
      <c r="F110" s="293">
        <f t="shared" si="413"/>
        <v>0</v>
      </c>
      <c r="G110" s="298">
        <f t="shared" si="380"/>
        <v>0</v>
      </c>
      <c r="H110" s="299">
        <f t="shared" si="380"/>
        <v>0</v>
      </c>
      <c r="I110" s="262">
        <f t="shared" si="414"/>
        <v>0</v>
      </c>
      <c r="J110" s="298">
        <f t="shared" ref="J110:K110" si="474">J9*J19</f>
        <v>0</v>
      </c>
      <c r="K110" s="299">
        <f t="shared" si="474"/>
        <v>0</v>
      </c>
      <c r="L110" s="262">
        <f t="shared" si="416"/>
        <v>0</v>
      </c>
      <c r="M110" s="298">
        <f t="shared" ref="M110:N110" si="475">M9*M19</f>
        <v>0</v>
      </c>
      <c r="N110" s="299">
        <f t="shared" si="475"/>
        <v>0</v>
      </c>
      <c r="O110" s="262">
        <f t="shared" si="418"/>
        <v>0</v>
      </c>
      <c r="P110" s="298">
        <f t="shared" ref="P110:Q110" si="476">P9*P19</f>
        <v>0</v>
      </c>
      <c r="Q110" s="299">
        <f t="shared" si="476"/>
        <v>0</v>
      </c>
      <c r="R110" s="262">
        <f t="shared" si="384"/>
        <v>0</v>
      </c>
      <c r="S110" s="298">
        <f t="shared" ref="S110:T110" si="477">S9*S19</f>
        <v>0</v>
      </c>
      <c r="T110" s="299">
        <f t="shared" si="477"/>
        <v>0</v>
      </c>
      <c r="U110" s="262">
        <f t="shared" si="386"/>
        <v>0</v>
      </c>
      <c r="V110" s="298">
        <f t="shared" ref="V110:W110" si="478">V9*V19</f>
        <v>0</v>
      </c>
      <c r="W110" s="299">
        <f t="shared" si="478"/>
        <v>0</v>
      </c>
      <c r="X110" s="262">
        <f t="shared" si="388"/>
        <v>0</v>
      </c>
      <c r="Y110" s="298">
        <f t="shared" ref="Y110:Z110" si="479">Y9*Y19</f>
        <v>0</v>
      </c>
      <c r="Z110" s="299">
        <f t="shared" si="479"/>
        <v>0</v>
      </c>
      <c r="AA110" s="262">
        <f t="shared" si="423"/>
        <v>0</v>
      </c>
      <c r="AB110" s="298">
        <f t="shared" ref="AB110:AC110" si="480">AB9*AB19</f>
        <v>0</v>
      </c>
      <c r="AC110" s="299">
        <f t="shared" si="480"/>
        <v>0</v>
      </c>
      <c r="AD110" s="262">
        <f t="shared" si="425"/>
        <v>0</v>
      </c>
      <c r="AE110" s="298">
        <f t="shared" ref="AE110:AF110" si="481">AE9*AE19</f>
        <v>0</v>
      </c>
      <c r="AF110" s="299">
        <f t="shared" si="481"/>
        <v>0</v>
      </c>
      <c r="AG110" s="262">
        <f t="shared" si="392"/>
        <v>0</v>
      </c>
      <c r="AH110" s="298">
        <f t="shared" ref="AH110:AI110" si="482">AH9*AH19</f>
        <v>0</v>
      </c>
      <c r="AI110" s="299">
        <f t="shared" si="482"/>
        <v>0</v>
      </c>
      <c r="AJ110" s="262">
        <f t="shared" si="394"/>
        <v>0</v>
      </c>
      <c r="AK110" s="298">
        <f t="shared" ref="AK110:AL110" si="483">AK9*AK19</f>
        <v>0</v>
      </c>
      <c r="AL110" s="299">
        <f t="shared" si="483"/>
        <v>0</v>
      </c>
      <c r="AM110" s="262">
        <f t="shared" si="396"/>
        <v>0</v>
      </c>
      <c r="AN110" s="298">
        <f t="shared" ref="AN110:AO110" si="484">AN9*AN19</f>
        <v>0</v>
      </c>
      <c r="AO110" s="299">
        <f t="shared" si="484"/>
        <v>0</v>
      </c>
      <c r="AP110" s="262">
        <f t="shared" si="430"/>
        <v>0</v>
      </c>
      <c r="AQ110" s="298">
        <f t="shared" ref="AQ110:AR110" si="485">AQ9*AQ19</f>
        <v>0</v>
      </c>
      <c r="AR110" s="299">
        <f t="shared" si="485"/>
        <v>0</v>
      </c>
      <c r="AS110" s="262">
        <f t="shared" si="432"/>
        <v>0</v>
      </c>
      <c r="AT110" s="298">
        <f t="shared" ref="AT110:AU110" si="486">AT9*AT19</f>
        <v>0</v>
      </c>
      <c r="AU110" s="299">
        <f t="shared" si="486"/>
        <v>0</v>
      </c>
      <c r="AV110" s="262">
        <f t="shared" si="400"/>
        <v>0</v>
      </c>
      <c r="AW110" s="298">
        <f t="shared" ref="AW110:AX110" si="487">AW9*AW19</f>
        <v>0</v>
      </c>
      <c r="AX110" s="299">
        <f t="shared" si="487"/>
        <v>0</v>
      </c>
      <c r="AY110" s="262">
        <f t="shared" si="402"/>
        <v>0</v>
      </c>
      <c r="AZ110" s="298">
        <f t="shared" ref="AZ110:BA110" si="488">AZ9*AZ19</f>
        <v>0</v>
      </c>
      <c r="BA110" s="299">
        <f t="shared" si="488"/>
        <v>0</v>
      </c>
      <c r="BB110" s="262">
        <f t="shared" si="404"/>
        <v>0</v>
      </c>
      <c r="BC110" s="298">
        <f t="shared" ref="BC110:BD110" si="489">BC9*BC19</f>
        <v>0</v>
      </c>
      <c r="BD110" s="299">
        <f t="shared" si="489"/>
        <v>0</v>
      </c>
      <c r="BE110" s="262">
        <f t="shared" si="437"/>
        <v>0</v>
      </c>
      <c r="BF110" s="298">
        <f t="shared" ref="BF110:BG110" si="490">BF9*BF19</f>
        <v>0</v>
      </c>
      <c r="BG110" s="299">
        <f t="shared" si="490"/>
        <v>0</v>
      </c>
      <c r="BH110" s="262">
        <f t="shared" si="439"/>
        <v>0</v>
      </c>
      <c r="BI110" s="298">
        <f t="shared" si="407"/>
        <v>0</v>
      </c>
      <c r="BJ110" s="299">
        <f t="shared" si="407"/>
        <v>0</v>
      </c>
      <c r="BK110" s="262">
        <f t="shared" si="408"/>
        <v>0</v>
      </c>
      <c r="BL110" s="298">
        <f t="shared" si="409"/>
        <v>0</v>
      </c>
      <c r="BM110" s="299">
        <f t="shared" si="409"/>
        <v>0</v>
      </c>
      <c r="BN110" s="262">
        <f t="shared" si="410"/>
        <v>0</v>
      </c>
      <c r="BO110" s="298">
        <f t="shared" si="411"/>
        <v>0</v>
      </c>
      <c r="BP110" s="299">
        <f t="shared" si="411"/>
        <v>0</v>
      </c>
      <c r="BQ110" s="262">
        <f t="shared" si="412"/>
        <v>0</v>
      </c>
    </row>
    <row r="111" spans="1:69">
      <c r="A111" s="787"/>
      <c r="B111" s="789"/>
      <c r="C111" s="290" t="s">
        <v>30</v>
      </c>
      <c r="D111" s="291">
        <f t="shared" si="358"/>
        <v>0</v>
      </c>
      <c r="E111" s="292">
        <f t="shared" si="161"/>
        <v>0</v>
      </c>
      <c r="F111" s="293">
        <f t="shared" si="413"/>
        <v>0</v>
      </c>
      <c r="G111" s="298">
        <f t="shared" si="380"/>
        <v>0</v>
      </c>
      <c r="H111" s="299">
        <f t="shared" si="380"/>
        <v>0</v>
      </c>
      <c r="I111" s="262">
        <f t="shared" si="414"/>
        <v>0</v>
      </c>
      <c r="J111" s="298">
        <f t="shared" ref="J111:K111" si="491">J10*J20</f>
        <v>0</v>
      </c>
      <c r="K111" s="299">
        <f t="shared" si="491"/>
        <v>0</v>
      </c>
      <c r="L111" s="262">
        <f t="shared" si="416"/>
        <v>0</v>
      </c>
      <c r="M111" s="298">
        <f t="shared" ref="M111:N111" si="492">M10*M20</f>
        <v>0</v>
      </c>
      <c r="N111" s="299">
        <f t="shared" si="492"/>
        <v>0</v>
      </c>
      <c r="O111" s="262">
        <f t="shared" si="418"/>
        <v>0</v>
      </c>
      <c r="P111" s="298">
        <f t="shared" ref="P111:Q111" si="493">P10*P20</f>
        <v>0</v>
      </c>
      <c r="Q111" s="299">
        <f t="shared" si="493"/>
        <v>0</v>
      </c>
      <c r="R111" s="262">
        <f t="shared" si="384"/>
        <v>0</v>
      </c>
      <c r="S111" s="298">
        <f t="shared" ref="S111:T111" si="494">S10*S20</f>
        <v>0</v>
      </c>
      <c r="T111" s="299">
        <f t="shared" si="494"/>
        <v>0</v>
      </c>
      <c r="U111" s="262">
        <f t="shared" si="386"/>
        <v>0</v>
      </c>
      <c r="V111" s="298">
        <f t="shared" ref="V111:W111" si="495">V10*V20</f>
        <v>0</v>
      </c>
      <c r="W111" s="299">
        <f t="shared" si="495"/>
        <v>0</v>
      </c>
      <c r="X111" s="262">
        <f t="shared" si="388"/>
        <v>0</v>
      </c>
      <c r="Y111" s="298">
        <f t="shared" ref="Y111:Z111" si="496">Y10*Y20</f>
        <v>0</v>
      </c>
      <c r="Z111" s="299">
        <f t="shared" si="496"/>
        <v>0</v>
      </c>
      <c r="AA111" s="262">
        <f t="shared" si="423"/>
        <v>0</v>
      </c>
      <c r="AB111" s="298">
        <f t="shared" ref="AB111:AC111" si="497">AB10*AB20</f>
        <v>0</v>
      </c>
      <c r="AC111" s="299">
        <f t="shared" si="497"/>
        <v>0</v>
      </c>
      <c r="AD111" s="262">
        <f t="shared" si="425"/>
        <v>0</v>
      </c>
      <c r="AE111" s="298">
        <f t="shared" ref="AE111:AF111" si="498">AE10*AE20</f>
        <v>0</v>
      </c>
      <c r="AF111" s="299">
        <f t="shared" si="498"/>
        <v>0</v>
      </c>
      <c r="AG111" s="262">
        <f t="shared" si="392"/>
        <v>0</v>
      </c>
      <c r="AH111" s="298">
        <f t="shared" ref="AH111:AI111" si="499">AH10*AH20</f>
        <v>0</v>
      </c>
      <c r="AI111" s="299">
        <f t="shared" si="499"/>
        <v>0</v>
      </c>
      <c r="AJ111" s="262">
        <f t="shared" si="394"/>
        <v>0</v>
      </c>
      <c r="AK111" s="298">
        <f t="shared" ref="AK111:AL111" si="500">AK10*AK20</f>
        <v>0</v>
      </c>
      <c r="AL111" s="299">
        <f t="shared" si="500"/>
        <v>0</v>
      </c>
      <c r="AM111" s="262">
        <f t="shared" si="396"/>
        <v>0</v>
      </c>
      <c r="AN111" s="298">
        <f t="shared" ref="AN111:AO111" si="501">AN10*AN20</f>
        <v>0</v>
      </c>
      <c r="AO111" s="299">
        <f t="shared" si="501"/>
        <v>0</v>
      </c>
      <c r="AP111" s="262">
        <f t="shared" si="430"/>
        <v>0</v>
      </c>
      <c r="AQ111" s="298">
        <f t="shared" ref="AQ111:AR111" si="502">AQ10*AQ20</f>
        <v>0</v>
      </c>
      <c r="AR111" s="299">
        <f t="shared" si="502"/>
        <v>0</v>
      </c>
      <c r="AS111" s="262">
        <f t="shared" si="432"/>
        <v>0</v>
      </c>
      <c r="AT111" s="298">
        <f t="shared" ref="AT111:AU111" si="503">AT10*AT20</f>
        <v>0</v>
      </c>
      <c r="AU111" s="299">
        <f t="shared" si="503"/>
        <v>0</v>
      </c>
      <c r="AV111" s="262">
        <f t="shared" si="400"/>
        <v>0</v>
      </c>
      <c r="AW111" s="298">
        <f t="shared" ref="AW111:AX111" si="504">AW10*AW20</f>
        <v>0</v>
      </c>
      <c r="AX111" s="299">
        <f t="shared" si="504"/>
        <v>0</v>
      </c>
      <c r="AY111" s="262">
        <f t="shared" si="402"/>
        <v>0</v>
      </c>
      <c r="AZ111" s="298">
        <f t="shared" ref="AZ111:BA111" si="505">AZ10*AZ20</f>
        <v>0</v>
      </c>
      <c r="BA111" s="299">
        <f t="shared" si="505"/>
        <v>0</v>
      </c>
      <c r="BB111" s="262">
        <f t="shared" si="404"/>
        <v>0</v>
      </c>
      <c r="BC111" s="298">
        <f t="shared" ref="BC111:BD111" si="506">BC10*BC20</f>
        <v>0</v>
      </c>
      <c r="BD111" s="299">
        <f t="shared" si="506"/>
        <v>0</v>
      </c>
      <c r="BE111" s="262">
        <f t="shared" si="437"/>
        <v>0</v>
      </c>
      <c r="BF111" s="298">
        <f t="shared" ref="BF111:BG111" si="507">BF10*BF20</f>
        <v>0</v>
      </c>
      <c r="BG111" s="299">
        <f t="shared" si="507"/>
        <v>0</v>
      </c>
      <c r="BH111" s="262">
        <f t="shared" si="439"/>
        <v>0</v>
      </c>
      <c r="BI111" s="298">
        <f t="shared" si="407"/>
        <v>0</v>
      </c>
      <c r="BJ111" s="299">
        <f t="shared" si="407"/>
        <v>0</v>
      </c>
      <c r="BK111" s="262">
        <f t="shared" si="408"/>
        <v>0</v>
      </c>
      <c r="BL111" s="298">
        <f t="shared" si="409"/>
        <v>0</v>
      </c>
      <c r="BM111" s="299">
        <f t="shared" si="409"/>
        <v>0</v>
      </c>
      <c r="BN111" s="262">
        <f t="shared" si="410"/>
        <v>0</v>
      </c>
      <c r="BO111" s="298">
        <f t="shared" si="411"/>
        <v>0</v>
      </c>
      <c r="BP111" s="299">
        <f t="shared" si="411"/>
        <v>0</v>
      </c>
      <c r="BQ111" s="262">
        <f t="shared" si="412"/>
        <v>0</v>
      </c>
    </row>
    <row r="112" spans="1:69">
      <c r="A112" s="787"/>
      <c r="B112" s="789"/>
      <c r="C112" s="290" t="s">
        <v>31</v>
      </c>
      <c r="D112" s="291">
        <f t="shared" ref="D112:D115" si="508">SUM(G112,J112,M112,P112,S112,V112,Y112,AB112,AE112,AH112,AK112,AN112,AQ112,AT112,AW112,AZ112,AZ112,BC112,BF112,BI112,BL112,BO112)</f>
        <v>0</v>
      </c>
      <c r="E112" s="292">
        <f t="shared" si="161"/>
        <v>0</v>
      </c>
      <c r="F112" s="293">
        <f t="shared" si="413"/>
        <v>0</v>
      </c>
      <c r="G112" s="298">
        <f t="shared" si="380"/>
        <v>0</v>
      </c>
      <c r="H112" s="299">
        <f t="shared" si="380"/>
        <v>0</v>
      </c>
      <c r="I112" s="262">
        <f t="shared" si="414"/>
        <v>0</v>
      </c>
      <c r="J112" s="298">
        <f t="shared" ref="J112:K112" si="509">J11*J21</f>
        <v>0</v>
      </c>
      <c r="K112" s="299">
        <f t="shared" si="509"/>
        <v>0</v>
      </c>
      <c r="L112" s="262">
        <f t="shared" si="416"/>
        <v>0</v>
      </c>
      <c r="M112" s="298">
        <f t="shared" ref="M112:N112" si="510">M11*M21</f>
        <v>0</v>
      </c>
      <c r="N112" s="299">
        <f t="shared" si="510"/>
        <v>0</v>
      </c>
      <c r="O112" s="262">
        <f t="shared" si="418"/>
        <v>0</v>
      </c>
      <c r="P112" s="298">
        <f t="shared" ref="P112:Q112" si="511">P11*P21</f>
        <v>0</v>
      </c>
      <c r="Q112" s="299">
        <f t="shared" si="511"/>
        <v>0</v>
      </c>
      <c r="R112" s="262">
        <f t="shared" si="384"/>
        <v>0</v>
      </c>
      <c r="S112" s="298">
        <f t="shared" ref="S112:T112" si="512">S11*S21</f>
        <v>0</v>
      </c>
      <c r="T112" s="299">
        <f t="shared" si="512"/>
        <v>0</v>
      </c>
      <c r="U112" s="262">
        <f t="shared" si="386"/>
        <v>0</v>
      </c>
      <c r="V112" s="298">
        <f t="shared" ref="V112:W112" si="513">V11*V21</f>
        <v>0</v>
      </c>
      <c r="W112" s="299">
        <f t="shared" si="513"/>
        <v>0</v>
      </c>
      <c r="X112" s="262">
        <f t="shared" si="388"/>
        <v>0</v>
      </c>
      <c r="Y112" s="298">
        <f t="shared" ref="Y112:Z112" si="514">Y11*Y21</f>
        <v>0</v>
      </c>
      <c r="Z112" s="299">
        <f t="shared" si="514"/>
        <v>0</v>
      </c>
      <c r="AA112" s="262">
        <f t="shared" si="423"/>
        <v>0</v>
      </c>
      <c r="AB112" s="298">
        <f t="shared" ref="AB112:AC112" si="515">AB11*AB21</f>
        <v>0</v>
      </c>
      <c r="AC112" s="299">
        <f t="shared" si="515"/>
        <v>0</v>
      </c>
      <c r="AD112" s="262">
        <f t="shared" si="425"/>
        <v>0</v>
      </c>
      <c r="AE112" s="298">
        <f t="shared" ref="AE112:AF112" si="516">AE11*AE21</f>
        <v>0</v>
      </c>
      <c r="AF112" s="299">
        <f t="shared" si="516"/>
        <v>0</v>
      </c>
      <c r="AG112" s="262">
        <f t="shared" si="392"/>
        <v>0</v>
      </c>
      <c r="AH112" s="298">
        <f t="shared" ref="AH112:AI112" si="517">AH11*AH21</f>
        <v>0</v>
      </c>
      <c r="AI112" s="299">
        <f t="shared" si="517"/>
        <v>0</v>
      </c>
      <c r="AJ112" s="262">
        <f t="shared" si="394"/>
        <v>0</v>
      </c>
      <c r="AK112" s="298">
        <f t="shared" ref="AK112:AL112" si="518">AK11*AK21</f>
        <v>0</v>
      </c>
      <c r="AL112" s="299">
        <f t="shared" si="518"/>
        <v>0</v>
      </c>
      <c r="AM112" s="262">
        <f t="shared" si="396"/>
        <v>0</v>
      </c>
      <c r="AN112" s="298">
        <f t="shared" ref="AN112:AO112" si="519">AN11*AN21</f>
        <v>0</v>
      </c>
      <c r="AO112" s="299">
        <f t="shared" si="519"/>
        <v>0</v>
      </c>
      <c r="AP112" s="262">
        <f t="shared" si="430"/>
        <v>0</v>
      </c>
      <c r="AQ112" s="298">
        <f t="shared" ref="AQ112:AR112" si="520">AQ11*AQ21</f>
        <v>0</v>
      </c>
      <c r="AR112" s="299">
        <f t="shared" si="520"/>
        <v>0</v>
      </c>
      <c r="AS112" s="262">
        <f t="shared" si="432"/>
        <v>0</v>
      </c>
      <c r="AT112" s="298">
        <f t="shared" ref="AT112:AU112" si="521">AT11*AT21</f>
        <v>0</v>
      </c>
      <c r="AU112" s="299">
        <f t="shared" si="521"/>
        <v>0</v>
      </c>
      <c r="AV112" s="262">
        <f t="shared" si="400"/>
        <v>0</v>
      </c>
      <c r="AW112" s="298">
        <f t="shared" ref="AW112:AX112" si="522">AW11*AW21</f>
        <v>0</v>
      </c>
      <c r="AX112" s="299">
        <f t="shared" si="522"/>
        <v>0</v>
      </c>
      <c r="AY112" s="262">
        <f t="shared" si="402"/>
        <v>0</v>
      </c>
      <c r="AZ112" s="298">
        <f t="shared" ref="AZ112:BA112" si="523">AZ11*AZ21</f>
        <v>0</v>
      </c>
      <c r="BA112" s="299">
        <f t="shared" si="523"/>
        <v>0</v>
      </c>
      <c r="BB112" s="262">
        <f t="shared" si="404"/>
        <v>0</v>
      </c>
      <c r="BC112" s="298">
        <f t="shared" ref="BC112:BD112" si="524">BC11*BC21</f>
        <v>0</v>
      </c>
      <c r="BD112" s="299">
        <f t="shared" si="524"/>
        <v>0</v>
      </c>
      <c r="BE112" s="262">
        <f t="shared" si="437"/>
        <v>0</v>
      </c>
      <c r="BF112" s="298">
        <f t="shared" ref="BF112:BG112" si="525">BF11*BF21</f>
        <v>0</v>
      </c>
      <c r="BG112" s="299">
        <f t="shared" si="525"/>
        <v>0</v>
      </c>
      <c r="BH112" s="262">
        <f t="shared" si="439"/>
        <v>0</v>
      </c>
      <c r="BI112" s="298">
        <f t="shared" si="407"/>
        <v>0</v>
      </c>
      <c r="BJ112" s="299">
        <f t="shared" si="407"/>
        <v>0</v>
      </c>
      <c r="BK112" s="262">
        <f t="shared" si="408"/>
        <v>0</v>
      </c>
      <c r="BL112" s="298">
        <f t="shared" si="409"/>
        <v>0</v>
      </c>
      <c r="BM112" s="299">
        <f t="shared" si="409"/>
        <v>0</v>
      </c>
      <c r="BN112" s="262">
        <f t="shared" si="410"/>
        <v>0</v>
      </c>
      <c r="BO112" s="298">
        <f t="shared" si="411"/>
        <v>0</v>
      </c>
      <c r="BP112" s="299">
        <f t="shared" si="411"/>
        <v>0</v>
      </c>
      <c r="BQ112" s="262">
        <f t="shared" si="412"/>
        <v>0</v>
      </c>
    </row>
    <row r="113" spans="1:70">
      <c r="A113" s="787"/>
      <c r="B113" s="789"/>
      <c r="C113" s="290" t="s">
        <v>32</v>
      </c>
      <c r="D113" s="291">
        <f t="shared" si="508"/>
        <v>0</v>
      </c>
      <c r="E113" s="292">
        <f t="shared" si="161"/>
        <v>0</v>
      </c>
      <c r="F113" s="293">
        <f t="shared" si="413"/>
        <v>0</v>
      </c>
      <c r="G113" s="298">
        <f t="shared" si="380"/>
        <v>0</v>
      </c>
      <c r="H113" s="299">
        <f t="shared" si="380"/>
        <v>0</v>
      </c>
      <c r="I113" s="262">
        <f t="shared" si="414"/>
        <v>0</v>
      </c>
      <c r="J113" s="298">
        <f t="shared" ref="J113:K113" si="526">J12*J22</f>
        <v>0</v>
      </c>
      <c r="K113" s="299">
        <f t="shared" si="526"/>
        <v>0</v>
      </c>
      <c r="L113" s="262">
        <f t="shared" si="416"/>
        <v>0</v>
      </c>
      <c r="M113" s="298">
        <f t="shared" ref="M113:N113" si="527">M12*M22</f>
        <v>0</v>
      </c>
      <c r="N113" s="299">
        <f t="shared" si="527"/>
        <v>0</v>
      </c>
      <c r="O113" s="262">
        <f t="shared" si="418"/>
        <v>0</v>
      </c>
      <c r="P113" s="298">
        <f t="shared" ref="P113:Q113" si="528">P12*P22</f>
        <v>0</v>
      </c>
      <c r="Q113" s="299">
        <f t="shared" si="528"/>
        <v>0</v>
      </c>
      <c r="R113" s="262">
        <f t="shared" si="384"/>
        <v>0</v>
      </c>
      <c r="S113" s="298">
        <f t="shared" ref="S113:T113" si="529">S12*S22</f>
        <v>0</v>
      </c>
      <c r="T113" s="299">
        <f t="shared" si="529"/>
        <v>0</v>
      </c>
      <c r="U113" s="262">
        <f t="shared" si="386"/>
        <v>0</v>
      </c>
      <c r="V113" s="298">
        <f t="shared" ref="V113:W113" si="530">V12*V22</f>
        <v>0</v>
      </c>
      <c r="W113" s="299">
        <f t="shared" si="530"/>
        <v>0</v>
      </c>
      <c r="X113" s="262">
        <f t="shared" si="388"/>
        <v>0</v>
      </c>
      <c r="Y113" s="298">
        <f t="shared" ref="Y113:Z113" si="531">Y12*Y22</f>
        <v>0</v>
      </c>
      <c r="Z113" s="299">
        <f t="shared" si="531"/>
        <v>0</v>
      </c>
      <c r="AA113" s="262">
        <f t="shared" si="423"/>
        <v>0</v>
      </c>
      <c r="AB113" s="298">
        <f t="shared" ref="AB113:AC113" si="532">AB12*AB22</f>
        <v>0</v>
      </c>
      <c r="AC113" s="299">
        <f t="shared" si="532"/>
        <v>0</v>
      </c>
      <c r="AD113" s="262">
        <f t="shared" si="425"/>
        <v>0</v>
      </c>
      <c r="AE113" s="298">
        <f t="shared" ref="AE113:AF113" si="533">AE12*AE22</f>
        <v>0</v>
      </c>
      <c r="AF113" s="299">
        <f t="shared" si="533"/>
        <v>0</v>
      </c>
      <c r="AG113" s="262">
        <f t="shared" si="392"/>
        <v>0</v>
      </c>
      <c r="AH113" s="298">
        <f t="shared" ref="AH113:AI113" si="534">AH12*AH22</f>
        <v>0</v>
      </c>
      <c r="AI113" s="299">
        <f t="shared" si="534"/>
        <v>0</v>
      </c>
      <c r="AJ113" s="262">
        <f t="shared" si="394"/>
        <v>0</v>
      </c>
      <c r="AK113" s="298">
        <f t="shared" ref="AK113:AL113" si="535">AK12*AK22</f>
        <v>0</v>
      </c>
      <c r="AL113" s="299">
        <f t="shared" si="535"/>
        <v>0</v>
      </c>
      <c r="AM113" s="262">
        <f t="shared" si="396"/>
        <v>0</v>
      </c>
      <c r="AN113" s="298">
        <f t="shared" ref="AN113:AO113" si="536">AN12*AN22</f>
        <v>0</v>
      </c>
      <c r="AO113" s="299">
        <f t="shared" si="536"/>
        <v>0</v>
      </c>
      <c r="AP113" s="262">
        <f t="shared" si="430"/>
        <v>0</v>
      </c>
      <c r="AQ113" s="298">
        <f t="shared" ref="AQ113:AR113" si="537">AQ12*AQ22</f>
        <v>0</v>
      </c>
      <c r="AR113" s="299">
        <f t="shared" si="537"/>
        <v>0</v>
      </c>
      <c r="AS113" s="262">
        <f t="shared" si="432"/>
        <v>0</v>
      </c>
      <c r="AT113" s="298">
        <f t="shared" ref="AT113:AU113" si="538">AT12*AT22</f>
        <v>0</v>
      </c>
      <c r="AU113" s="299">
        <f t="shared" si="538"/>
        <v>0</v>
      </c>
      <c r="AV113" s="262">
        <f t="shared" si="400"/>
        <v>0</v>
      </c>
      <c r="AW113" s="298">
        <f t="shared" ref="AW113:AX113" si="539">AW12*AW22</f>
        <v>0</v>
      </c>
      <c r="AX113" s="299">
        <f t="shared" si="539"/>
        <v>0</v>
      </c>
      <c r="AY113" s="262">
        <f t="shared" si="402"/>
        <v>0</v>
      </c>
      <c r="AZ113" s="298">
        <f t="shared" ref="AZ113:BA113" si="540">AZ12*AZ22</f>
        <v>0</v>
      </c>
      <c r="BA113" s="299">
        <f t="shared" si="540"/>
        <v>0</v>
      </c>
      <c r="BB113" s="262">
        <f t="shared" si="404"/>
        <v>0</v>
      </c>
      <c r="BC113" s="298">
        <f t="shared" ref="BC113:BD113" si="541">BC12*BC22</f>
        <v>0</v>
      </c>
      <c r="BD113" s="299">
        <f t="shared" si="541"/>
        <v>0</v>
      </c>
      <c r="BE113" s="262">
        <f t="shared" si="437"/>
        <v>0</v>
      </c>
      <c r="BF113" s="298">
        <f t="shared" ref="BF113:BG113" si="542">BF12*BF22</f>
        <v>0</v>
      </c>
      <c r="BG113" s="299">
        <f t="shared" si="542"/>
        <v>0</v>
      </c>
      <c r="BH113" s="262">
        <f t="shared" si="439"/>
        <v>0</v>
      </c>
      <c r="BI113" s="298">
        <f t="shared" si="407"/>
        <v>0</v>
      </c>
      <c r="BJ113" s="299">
        <f t="shared" si="407"/>
        <v>0</v>
      </c>
      <c r="BK113" s="262">
        <f t="shared" si="408"/>
        <v>0</v>
      </c>
      <c r="BL113" s="298">
        <f t="shared" si="409"/>
        <v>0</v>
      </c>
      <c r="BM113" s="299">
        <f t="shared" si="409"/>
        <v>0</v>
      </c>
      <c r="BN113" s="262">
        <f t="shared" si="410"/>
        <v>0</v>
      </c>
      <c r="BO113" s="298">
        <f t="shared" si="411"/>
        <v>0</v>
      </c>
      <c r="BP113" s="299">
        <f t="shared" si="411"/>
        <v>0</v>
      </c>
      <c r="BQ113" s="262">
        <f t="shared" si="412"/>
        <v>0</v>
      </c>
    </row>
    <row r="114" spans="1:70">
      <c r="A114" s="787"/>
      <c r="B114" s="789"/>
      <c r="C114" s="290" t="s">
        <v>33</v>
      </c>
      <c r="D114" s="291">
        <f t="shared" si="508"/>
        <v>0</v>
      </c>
      <c r="E114" s="292">
        <f t="shared" si="161"/>
        <v>0</v>
      </c>
      <c r="F114" s="293">
        <f t="shared" si="413"/>
        <v>0</v>
      </c>
      <c r="G114" s="298">
        <f t="shared" si="380"/>
        <v>0</v>
      </c>
      <c r="H114" s="299">
        <f t="shared" si="380"/>
        <v>0</v>
      </c>
      <c r="I114" s="262">
        <f t="shared" si="414"/>
        <v>0</v>
      </c>
      <c r="J114" s="298">
        <f t="shared" ref="J114:K114" si="543">J13*J23</f>
        <v>0</v>
      </c>
      <c r="K114" s="299">
        <f t="shared" si="543"/>
        <v>0</v>
      </c>
      <c r="L114" s="262">
        <f t="shared" si="416"/>
        <v>0</v>
      </c>
      <c r="M114" s="298">
        <f t="shared" ref="M114:N114" si="544">M13*M23</f>
        <v>0</v>
      </c>
      <c r="N114" s="299">
        <f t="shared" si="544"/>
        <v>0</v>
      </c>
      <c r="O114" s="262">
        <f t="shared" si="418"/>
        <v>0</v>
      </c>
      <c r="P114" s="298">
        <f t="shared" ref="P114:Q114" si="545">P13*P23</f>
        <v>0</v>
      </c>
      <c r="Q114" s="299">
        <f t="shared" si="545"/>
        <v>0</v>
      </c>
      <c r="R114" s="262">
        <f t="shared" si="384"/>
        <v>0</v>
      </c>
      <c r="S114" s="298">
        <f t="shared" ref="S114:T114" si="546">S13*S23</f>
        <v>0</v>
      </c>
      <c r="T114" s="299">
        <f t="shared" si="546"/>
        <v>0</v>
      </c>
      <c r="U114" s="262">
        <f t="shared" si="386"/>
        <v>0</v>
      </c>
      <c r="V114" s="298">
        <f t="shared" ref="V114:W114" si="547">V13*V23</f>
        <v>0</v>
      </c>
      <c r="W114" s="299">
        <f t="shared" si="547"/>
        <v>0</v>
      </c>
      <c r="X114" s="262">
        <f t="shared" si="388"/>
        <v>0</v>
      </c>
      <c r="Y114" s="298">
        <f t="shared" ref="Y114:Z114" si="548">Y13*Y23</f>
        <v>0</v>
      </c>
      <c r="Z114" s="299">
        <f t="shared" si="548"/>
        <v>0</v>
      </c>
      <c r="AA114" s="262">
        <f t="shared" si="423"/>
        <v>0</v>
      </c>
      <c r="AB114" s="298">
        <f t="shared" ref="AB114:AC114" si="549">AB13*AB23</f>
        <v>0</v>
      </c>
      <c r="AC114" s="299">
        <f t="shared" si="549"/>
        <v>0</v>
      </c>
      <c r="AD114" s="262">
        <f t="shared" si="425"/>
        <v>0</v>
      </c>
      <c r="AE114" s="298">
        <f t="shared" ref="AE114:AF114" si="550">AE13*AE23</f>
        <v>0</v>
      </c>
      <c r="AF114" s="299">
        <f t="shared" si="550"/>
        <v>0</v>
      </c>
      <c r="AG114" s="262">
        <f t="shared" si="392"/>
        <v>0</v>
      </c>
      <c r="AH114" s="298">
        <f t="shared" ref="AH114:AI114" si="551">AH13*AH23</f>
        <v>0</v>
      </c>
      <c r="AI114" s="299">
        <f t="shared" si="551"/>
        <v>0</v>
      </c>
      <c r="AJ114" s="262">
        <f t="shared" si="394"/>
        <v>0</v>
      </c>
      <c r="AK114" s="298">
        <f t="shared" ref="AK114:AL114" si="552">AK13*AK23</f>
        <v>0</v>
      </c>
      <c r="AL114" s="299">
        <f t="shared" si="552"/>
        <v>0</v>
      </c>
      <c r="AM114" s="262">
        <f t="shared" si="396"/>
        <v>0</v>
      </c>
      <c r="AN114" s="298">
        <f t="shared" ref="AN114:AO114" si="553">AN13*AN23</f>
        <v>0</v>
      </c>
      <c r="AO114" s="299">
        <f t="shared" si="553"/>
        <v>0</v>
      </c>
      <c r="AP114" s="262">
        <f t="shared" si="430"/>
        <v>0</v>
      </c>
      <c r="AQ114" s="298">
        <f t="shared" ref="AQ114:AR114" si="554">AQ13*AQ23</f>
        <v>0</v>
      </c>
      <c r="AR114" s="299">
        <f t="shared" si="554"/>
        <v>0</v>
      </c>
      <c r="AS114" s="262">
        <f t="shared" si="432"/>
        <v>0</v>
      </c>
      <c r="AT114" s="298">
        <f t="shared" ref="AT114:AU114" si="555">AT13*AT23</f>
        <v>0</v>
      </c>
      <c r="AU114" s="299">
        <f t="shared" si="555"/>
        <v>0</v>
      </c>
      <c r="AV114" s="262">
        <f t="shared" si="400"/>
        <v>0</v>
      </c>
      <c r="AW114" s="298">
        <f t="shared" ref="AW114:AX114" si="556">AW13*AW23</f>
        <v>0</v>
      </c>
      <c r="AX114" s="299">
        <f t="shared" si="556"/>
        <v>0</v>
      </c>
      <c r="AY114" s="262">
        <f t="shared" si="402"/>
        <v>0</v>
      </c>
      <c r="AZ114" s="298">
        <f t="shared" ref="AZ114:BA114" si="557">AZ13*AZ23</f>
        <v>0</v>
      </c>
      <c r="BA114" s="299">
        <f t="shared" si="557"/>
        <v>0</v>
      </c>
      <c r="BB114" s="262">
        <f t="shared" si="404"/>
        <v>0</v>
      </c>
      <c r="BC114" s="298">
        <f t="shared" ref="BC114:BD114" si="558">BC13*BC23</f>
        <v>0</v>
      </c>
      <c r="BD114" s="299">
        <f t="shared" si="558"/>
        <v>0</v>
      </c>
      <c r="BE114" s="262">
        <f t="shared" si="437"/>
        <v>0</v>
      </c>
      <c r="BF114" s="298">
        <f t="shared" ref="BF114:BG114" si="559">BF13*BF23</f>
        <v>0</v>
      </c>
      <c r="BG114" s="299">
        <f t="shared" si="559"/>
        <v>0</v>
      </c>
      <c r="BH114" s="262">
        <f t="shared" si="439"/>
        <v>0</v>
      </c>
      <c r="BI114" s="298">
        <f t="shared" si="407"/>
        <v>0</v>
      </c>
      <c r="BJ114" s="299">
        <f t="shared" si="407"/>
        <v>0</v>
      </c>
      <c r="BK114" s="262">
        <f t="shared" si="408"/>
        <v>0</v>
      </c>
      <c r="BL114" s="298">
        <f t="shared" si="409"/>
        <v>0</v>
      </c>
      <c r="BM114" s="299">
        <f t="shared" si="409"/>
        <v>0</v>
      </c>
      <c r="BN114" s="262">
        <f t="shared" si="410"/>
        <v>0</v>
      </c>
      <c r="BO114" s="298">
        <f t="shared" si="411"/>
        <v>0</v>
      </c>
      <c r="BP114" s="299">
        <f t="shared" si="411"/>
        <v>0</v>
      </c>
      <c r="BQ114" s="262">
        <f t="shared" si="412"/>
        <v>0</v>
      </c>
    </row>
    <row r="115" spans="1:70" ht="15.75" thickBot="1">
      <c r="A115" s="788"/>
      <c r="B115" s="790"/>
      <c r="C115" s="300" t="s">
        <v>34</v>
      </c>
      <c r="D115" s="301">
        <f t="shared" si="508"/>
        <v>0</v>
      </c>
      <c r="E115" s="302">
        <f t="shared" si="161"/>
        <v>0</v>
      </c>
      <c r="F115" s="303">
        <f t="shared" si="413"/>
        <v>0</v>
      </c>
      <c r="G115" s="304">
        <f t="shared" si="380"/>
        <v>0</v>
      </c>
      <c r="H115" s="305">
        <f t="shared" si="380"/>
        <v>0</v>
      </c>
      <c r="I115" s="267">
        <f t="shared" si="414"/>
        <v>0</v>
      </c>
      <c r="J115" s="304">
        <f t="shared" ref="J115:K115" si="560">J14*J24</f>
        <v>0</v>
      </c>
      <c r="K115" s="305">
        <f t="shared" si="560"/>
        <v>0</v>
      </c>
      <c r="L115" s="267">
        <f t="shared" si="416"/>
        <v>0</v>
      </c>
      <c r="M115" s="304">
        <f t="shared" ref="M115:N115" si="561">M14*M24</f>
        <v>0</v>
      </c>
      <c r="N115" s="305">
        <f t="shared" si="561"/>
        <v>0</v>
      </c>
      <c r="O115" s="267">
        <f t="shared" si="418"/>
        <v>0</v>
      </c>
      <c r="P115" s="304">
        <f t="shared" ref="P115:Q115" si="562">P14*P24</f>
        <v>0</v>
      </c>
      <c r="Q115" s="305">
        <f t="shared" si="562"/>
        <v>0</v>
      </c>
      <c r="R115" s="267">
        <f t="shared" si="384"/>
        <v>0</v>
      </c>
      <c r="S115" s="304">
        <f t="shared" ref="S115:T115" si="563">S14*S24</f>
        <v>0</v>
      </c>
      <c r="T115" s="305">
        <f t="shared" si="563"/>
        <v>0</v>
      </c>
      <c r="U115" s="267">
        <f t="shared" si="386"/>
        <v>0</v>
      </c>
      <c r="V115" s="304">
        <f t="shared" ref="V115:W115" si="564">V14*V24</f>
        <v>0</v>
      </c>
      <c r="W115" s="305">
        <f t="shared" si="564"/>
        <v>0</v>
      </c>
      <c r="X115" s="267">
        <f t="shared" si="388"/>
        <v>0</v>
      </c>
      <c r="Y115" s="304">
        <f t="shared" ref="Y115:Z115" si="565">Y14*Y24</f>
        <v>0</v>
      </c>
      <c r="Z115" s="305">
        <f t="shared" si="565"/>
        <v>0</v>
      </c>
      <c r="AA115" s="267">
        <f t="shared" si="423"/>
        <v>0</v>
      </c>
      <c r="AB115" s="304">
        <f t="shared" ref="AB115:AC115" si="566">AB14*AB24</f>
        <v>0</v>
      </c>
      <c r="AC115" s="305">
        <f t="shared" si="566"/>
        <v>0</v>
      </c>
      <c r="AD115" s="267">
        <f t="shared" si="425"/>
        <v>0</v>
      </c>
      <c r="AE115" s="304">
        <f t="shared" ref="AE115:AF115" si="567">AE14*AE24</f>
        <v>0</v>
      </c>
      <c r="AF115" s="305">
        <f t="shared" si="567"/>
        <v>0</v>
      </c>
      <c r="AG115" s="267">
        <f t="shared" si="392"/>
        <v>0</v>
      </c>
      <c r="AH115" s="304">
        <f t="shared" ref="AH115:AI115" si="568">AH14*AH24</f>
        <v>0</v>
      </c>
      <c r="AI115" s="305">
        <f t="shared" si="568"/>
        <v>0</v>
      </c>
      <c r="AJ115" s="267">
        <f t="shared" si="394"/>
        <v>0</v>
      </c>
      <c r="AK115" s="304">
        <f t="shared" ref="AK115:AL115" si="569">AK14*AK24</f>
        <v>0</v>
      </c>
      <c r="AL115" s="305">
        <f t="shared" si="569"/>
        <v>0</v>
      </c>
      <c r="AM115" s="267">
        <f t="shared" si="396"/>
        <v>0</v>
      </c>
      <c r="AN115" s="304">
        <f t="shared" ref="AN115:AO115" si="570">AN14*AN24</f>
        <v>0</v>
      </c>
      <c r="AO115" s="305">
        <f t="shared" si="570"/>
        <v>0</v>
      </c>
      <c r="AP115" s="267">
        <f t="shared" si="430"/>
        <v>0</v>
      </c>
      <c r="AQ115" s="304">
        <f t="shared" ref="AQ115:AR115" si="571">AQ14*AQ24</f>
        <v>0</v>
      </c>
      <c r="AR115" s="305">
        <f t="shared" si="571"/>
        <v>0</v>
      </c>
      <c r="AS115" s="267">
        <f t="shared" si="432"/>
        <v>0</v>
      </c>
      <c r="AT115" s="304">
        <f t="shared" ref="AT115:AU115" si="572">AT14*AT24</f>
        <v>0</v>
      </c>
      <c r="AU115" s="305">
        <f t="shared" si="572"/>
        <v>0</v>
      </c>
      <c r="AV115" s="267">
        <f t="shared" si="400"/>
        <v>0</v>
      </c>
      <c r="AW115" s="304">
        <f t="shared" ref="AW115:AX115" si="573">AW14*AW24</f>
        <v>0</v>
      </c>
      <c r="AX115" s="305">
        <f t="shared" si="573"/>
        <v>0</v>
      </c>
      <c r="AY115" s="267">
        <f t="shared" si="402"/>
        <v>0</v>
      </c>
      <c r="AZ115" s="304">
        <f t="shared" ref="AZ115:BA115" si="574">AZ14*AZ24</f>
        <v>0</v>
      </c>
      <c r="BA115" s="305">
        <f t="shared" si="574"/>
        <v>0</v>
      </c>
      <c r="BB115" s="267">
        <f t="shared" si="404"/>
        <v>0</v>
      </c>
      <c r="BC115" s="304">
        <f t="shared" ref="BC115:BD115" si="575">BC14*BC24</f>
        <v>0</v>
      </c>
      <c r="BD115" s="305">
        <f t="shared" si="575"/>
        <v>0</v>
      </c>
      <c r="BE115" s="267">
        <f t="shared" si="437"/>
        <v>0</v>
      </c>
      <c r="BF115" s="304">
        <f t="shared" ref="BF115:BG115" si="576">BF14*BF24</f>
        <v>0</v>
      </c>
      <c r="BG115" s="305">
        <f t="shared" si="576"/>
        <v>0</v>
      </c>
      <c r="BH115" s="267">
        <f t="shared" si="439"/>
        <v>0</v>
      </c>
      <c r="BI115" s="304">
        <f t="shared" si="407"/>
        <v>0</v>
      </c>
      <c r="BJ115" s="305">
        <f t="shared" si="407"/>
        <v>0</v>
      </c>
      <c r="BK115" s="267">
        <f t="shared" si="408"/>
        <v>0</v>
      </c>
      <c r="BL115" s="304">
        <f t="shared" si="409"/>
        <v>0</v>
      </c>
      <c r="BM115" s="305">
        <f t="shared" si="409"/>
        <v>0</v>
      </c>
      <c r="BN115" s="267">
        <f t="shared" si="410"/>
        <v>0</v>
      </c>
      <c r="BO115" s="304">
        <f t="shared" si="411"/>
        <v>0</v>
      </c>
      <c r="BP115" s="305">
        <f t="shared" si="411"/>
        <v>0</v>
      </c>
      <c r="BQ115" s="267">
        <f t="shared" si="412"/>
        <v>0</v>
      </c>
    </row>
    <row r="116" spans="1:70">
      <c r="A116" s="787" t="s">
        <v>144</v>
      </c>
      <c r="B116" s="789" t="s">
        <v>13</v>
      </c>
      <c r="C116" s="290" t="s">
        <v>25</v>
      </c>
      <c r="D116" s="291">
        <f t="shared" ref="D116:D131" si="577">SUM(G116,J116,M116,P116,S116,V116,Y116,AB116,AE116,AH116,AK116,AN116,AQ116,AT116,AW116,AZ116,AZ116,BC116,BF116,BI116,BL116,BO116)</f>
        <v>0</v>
      </c>
      <c r="E116" s="292">
        <f t="shared" si="161"/>
        <v>0</v>
      </c>
      <c r="F116" s="293">
        <f t="shared" ref="F116:F135" si="578">SUM(I116,L116,O116,R116,U116,X116,AA116,AD116,AG116,AJ116,AM116,AP116,AS116,AV116,AY116,BB116,BB116,BE116,BH116,BK116,BN116,BQ116)</f>
        <v>0</v>
      </c>
      <c r="G116" s="306">
        <f t="shared" ref="G116:H125" si="579">G5*G25</f>
        <v>0</v>
      </c>
      <c r="H116" s="307">
        <f t="shared" si="579"/>
        <v>0</v>
      </c>
      <c r="I116" s="257">
        <f>H116-G116</f>
        <v>0</v>
      </c>
      <c r="J116" s="306">
        <f t="shared" ref="J116:K116" si="580">J5*J25</f>
        <v>0</v>
      </c>
      <c r="K116" s="307">
        <f t="shared" si="580"/>
        <v>0</v>
      </c>
      <c r="L116" s="257">
        <f>K116-J116</f>
        <v>0</v>
      </c>
      <c r="M116" s="306">
        <f t="shared" ref="M116:N116" si="581">M5*M25</f>
        <v>0</v>
      </c>
      <c r="N116" s="307">
        <f t="shared" si="581"/>
        <v>0</v>
      </c>
      <c r="O116" s="257">
        <f>N116-M116</f>
        <v>0</v>
      </c>
      <c r="P116" s="306">
        <f t="shared" ref="P116:Q116" si="582">P5*P25</f>
        <v>0</v>
      </c>
      <c r="Q116" s="307">
        <f t="shared" si="582"/>
        <v>0</v>
      </c>
      <c r="R116" s="257">
        <f>Q116-P116</f>
        <v>0</v>
      </c>
      <c r="S116" s="306">
        <f t="shared" ref="S116:T116" si="583">S5*S25</f>
        <v>0</v>
      </c>
      <c r="T116" s="307">
        <f t="shared" si="583"/>
        <v>0</v>
      </c>
      <c r="U116" s="257">
        <f>T116-S116</f>
        <v>0</v>
      </c>
      <c r="V116" s="306">
        <f t="shared" ref="V116:W116" si="584">V5*V25</f>
        <v>0</v>
      </c>
      <c r="W116" s="307">
        <f t="shared" si="584"/>
        <v>0</v>
      </c>
      <c r="X116" s="257">
        <f>W116-V116</f>
        <v>0</v>
      </c>
      <c r="Y116" s="306">
        <f t="shared" ref="Y116:Z116" si="585">Y5*Y25</f>
        <v>0</v>
      </c>
      <c r="Z116" s="307">
        <f t="shared" si="585"/>
        <v>0</v>
      </c>
      <c r="AA116" s="257">
        <f>Z116-Y116</f>
        <v>0</v>
      </c>
      <c r="AB116" s="306">
        <f t="shared" ref="AB116:AC116" si="586">AB5*AB25</f>
        <v>0</v>
      </c>
      <c r="AC116" s="307">
        <f t="shared" si="586"/>
        <v>0</v>
      </c>
      <c r="AD116" s="257">
        <f>AC116-AB116</f>
        <v>0</v>
      </c>
      <c r="AE116" s="306">
        <f t="shared" ref="AE116:AF116" si="587">AE5*AE25</f>
        <v>0</v>
      </c>
      <c r="AF116" s="307">
        <f t="shared" si="587"/>
        <v>0</v>
      </c>
      <c r="AG116" s="257">
        <f>AF116-AE116</f>
        <v>0</v>
      </c>
      <c r="AH116" s="306">
        <f t="shared" ref="AH116:AI116" si="588">AH5*AH25</f>
        <v>0</v>
      </c>
      <c r="AI116" s="307">
        <f t="shared" si="588"/>
        <v>0</v>
      </c>
      <c r="AJ116" s="257">
        <f>AI116-AH116</f>
        <v>0</v>
      </c>
      <c r="AK116" s="306">
        <f t="shared" ref="AK116:AL116" si="589">AK5*AK25</f>
        <v>0</v>
      </c>
      <c r="AL116" s="307">
        <f t="shared" si="589"/>
        <v>0</v>
      </c>
      <c r="AM116" s="257">
        <f>AL116-AK116</f>
        <v>0</v>
      </c>
      <c r="AN116" s="306">
        <f t="shared" ref="AN116:AO116" si="590">AN5*AN25</f>
        <v>0</v>
      </c>
      <c r="AO116" s="307">
        <f t="shared" si="590"/>
        <v>0</v>
      </c>
      <c r="AP116" s="257">
        <f>AO116-AN116</f>
        <v>0</v>
      </c>
      <c r="AQ116" s="306">
        <f t="shared" ref="AQ116:AR116" si="591">AQ5*AQ25</f>
        <v>0</v>
      </c>
      <c r="AR116" s="307">
        <f t="shared" si="591"/>
        <v>0</v>
      </c>
      <c r="AS116" s="257">
        <f>AR116-AQ116</f>
        <v>0</v>
      </c>
      <c r="AT116" s="306">
        <f t="shared" ref="AT116:AU116" si="592">AT5*AT25</f>
        <v>0</v>
      </c>
      <c r="AU116" s="307">
        <f t="shared" si="592"/>
        <v>0</v>
      </c>
      <c r="AV116" s="257">
        <f>AU116-AT116</f>
        <v>0</v>
      </c>
      <c r="AW116" s="306">
        <f t="shared" ref="AW116:AX116" si="593">AW5*AW25</f>
        <v>0</v>
      </c>
      <c r="AX116" s="307">
        <f t="shared" si="593"/>
        <v>0</v>
      </c>
      <c r="AY116" s="257">
        <f>AX116-AW116</f>
        <v>0</v>
      </c>
      <c r="AZ116" s="306">
        <f t="shared" ref="AZ116:BA116" si="594">AZ5*AZ25</f>
        <v>0</v>
      </c>
      <c r="BA116" s="307">
        <f t="shared" si="594"/>
        <v>0</v>
      </c>
      <c r="BB116" s="257">
        <f>BA116-AZ116</f>
        <v>0</v>
      </c>
      <c r="BC116" s="306">
        <f t="shared" ref="BC116:BD116" si="595">BC5*BC25</f>
        <v>0</v>
      </c>
      <c r="BD116" s="307">
        <f t="shared" si="595"/>
        <v>0</v>
      </c>
      <c r="BE116" s="257">
        <f>BD116-BC116</f>
        <v>0</v>
      </c>
      <c r="BF116" s="306">
        <f t="shared" ref="BF116:BG116" si="596">BF5*BF25</f>
        <v>0</v>
      </c>
      <c r="BG116" s="307">
        <f t="shared" si="596"/>
        <v>0</v>
      </c>
      <c r="BH116" s="257">
        <f>BG116-BF116</f>
        <v>0</v>
      </c>
      <c r="BI116" s="306">
        <f t="shared" ref="BI116:BJ125" si="597">BI5*BI25</f>
        <v>0</v>
      </c>
      <c r="BJ116" s="307">
        <f t="shared" si="597"/>
        <v>0</v>
      </c>
      <c r="BK116" s="257">
        <f>BJ116-BI116</f>
        <v>0</v>
      </c>
      <c r="BL116" s="306">
        <f t="shared" ref="BL116:BM125" si="598">BL5*BL25</f>
        <v>0</v>
      </c>
      <c r="BM116" s="307">
        <f t="shared" si="598"/>
        <v>0</v>
      </c>
      <c r="BN116" s="257">
        <f>BM116-BL116</f>
        <v>0</v>
      </c>
      <c r="BO116" s="306">
        <f t="shared" ref="BO116:BP125" si="599">BO5*BO25</f>
        <v>0</v>
      </c>
      <c r="BP116" s="307">
        <f t="shared" si="599"/>
        <v>0</v>
      </c>
      <c r="BQ116" s="257">
        <f>BP116-BO116</f>
        <v>0</v>
      </c>
    </row>
    <row r="117" spans="1:70">
      <c r="A117" s="787"/>
      <c r="B117" s="789"/>
      <c r="C117" s="290" t="s">
        <v>26</v>
      </c>
      <c r="D117" s="291">
        <f t="shared" si="577"/>
        <v>0</v>
      </c>
      <c r="E117" s="292">
        <f t="shared" si="161"/>
        <v>0</v>
      </c>
      <c r="F117" s="293">
        <f t="shared" si="578"/>
        <v>0</v>
      </c>
      <c r="G117" s="298">
        <f t="shared" si="579"/>
        <v>0</v>
      </c>
      <c r="H117" s="299">
        <f t="shared" si="579"/>
        <v>0</v>
      </c>
      <c r="I117" s="262">
        <f t="shared" ref="I117:I125" si="600">H117-G117</f>
        <v>0</v>
      </c>
      <c r="J117" s="298">
        <f t="shared" ref="J117:K117" si="601">J6*J26</f>
        <v>0</v>
      </c>
      <c r="K117" s="299">
        <f t="shared" si="601"/>
        <v>0</v>
      </c>
      <c r="L117" s="262">
        <f t="shared" ref="L117:L125" si="602">K117-J117</f>
        <v>0</v>
      </c>
      <c r="M117" s="298">
        <f t="shared" ref="M117:N117" si="603">M6*M26</f>
        <v>0</v>
      </c>
      <c r="N117" s="299">
        <f t="shared" si="603"/>
        <v>0</v>
      </c>
      <c r="O117" s="262">
        <f t="shared" ref="O117:O125" si="604">N117-M117</f>
        <v>0</v>
      </c>
      <c r="P117" s="298">
        <f t="shared" ref="P117:Q117" si="605">P6*P26</f>
        <v>0</v>
      </c>
      <c r="Q117" s="299">
        <f t="shared" si="605"/>
        <v>0</v>
      </c>
      <c r="R117" s="262">
        <f t="shared" ref="R117:R125" si="606">Q117-P117</f>
        <v>0</v>
      </c>
      <c r="S117" s="298">
        <f t="shared" ref="S117:T117" si="607">S6*S26</f>
        <v>0</v>
      </c>
      <c r="T117" s="299">
        <f t="shared" si="607"/>
        <v>0</v>
      </c>
      <c r="U117" s="262">
        <f t="shared" ref="U117:U125" si="608">T117-S117</f>
        <v>0</v>
      </c>
      <c r="V117" s="298">
        <f t="shared" ref="V117:W117" si="609">V6*V26</f>
        <v>0</v>
      </c>
      <c r="W117" s="299">
        <f t="shared" si="609"/>
        <v>0</v>
      </c>
      <c r="X117" s="262">
        <f t="shared" ref="X117:X125" si="610">W117-V117</f>
        <v>0</v>
      </c>
      <c r="Y117" s="298">
        <f t="shared" ref="Y117:Z117" si="611">Y6*Y26</f>
        <v>0</v>
      </c>
      <c r="Z117" s="299">
        <f t="shared" si="611"/>
        <v>0</v>
      </c>
      <c r="AA117" s="262">
        <f t="shared" ref="AA117:AA125" si="612">Z117-Y117</f>
        <v>0</v>
      </c>
      <c r="AB117" s="298">
        <f t="shared" ref="AB117:AC117" si="613">AB6*AB26</f>
        <v>0</v>
      </c>
      <c r="AC117" s="299">
        <f t="shared" si="613"/>
        <v>0</v>
      </c>
      <c r="AD117" s="262">
        <f t="shared" ref="AD117:AD125" si="614">AC117-AB117</f>
        <v>0</v>
      </c>
      <c r="AE117" s="298">
        <f t="shared" ref="AE117:AF117" si="615">AE6*AE26</f>
        <v>0</v>
      </c>
      <c r="AF117" s="299">
        <f t="shared" si="615"/>
        <v>0</v>
      </c>
      <c r="AG117" s="262">
        <f t="shared" ref="AG117:AG125" si="616">AF117-AE117</f>
        <v>0</v>
      </c>
      <c r="AH117" s="298">
        <f t="shared" ref="AH117:AI117" si="617">AH6*AH26</f>
        <v>0</v>
      </c>
      <c r="AI117" s="299">
        <f t="shared" si="617"/>
        <v>0</v>
      </c>
      <c r="AJ117" s="262">
        <f t="shared" ref="AJ117:AJ125" si="618">AI117-AH117</f>
        <v>0</v>
      </c>
      <c r="AK117" s="298">
        <f t="shared" ref="AK117:AL117" si="619">AK6*AK26</f>
        <v>0</v>
      </c>
      <c r="AL117" s="299">
        <f t="shared" si="619"/>
        <v>0</v>
      </c>
      <c r="AM117" s="262">
        <f t="shared" ref="AM117:AM125" si="620">AL117-AK117</f>
        <v>0</v>
      </c>
      <c r="AN117" s="298">
        <f t="shared" ref="AN117:AO117" si="621">AN6*AN26</f>
        <v>0</v>
      </c>
      <c r="AO117" s="299">
        <f t="shared" si="621"/>
        <v>0</v>
      </c>
      <c r="AP117" s="262">
        <f t="shared" ref="AP117:AP125" si="622">AO117-AN117</f>
        <v>0</v>
      </c>
      <c r="AQ117" s="298">
        <f t="shared" ref="AQ117:AR117" si="623">AQ6*AQ26</f>
        <v>0</v>
      </c>
      <c r="AR117" s="299">
        <f t="shared" si="623"/>
        <v>0</v>
      </c>
      <c r="AS117" s="262">
        <f t="shared" ref="AS117:AS125" si="624">AR117-AQ117</f>
        <v>0</v>
      </c>
      <c r="AT117" s="298">
        <f t="shared" ref="AT117:AU117" si="625">AT6*AT26</f>
        <v>0</v>
      </c>
      <c r="AU117" s="299">
        <f t="shared" si="625"/>
        <v>0</v>
      </c>
      <c r="AV117" s="262">
        <f t="shared" ref="AV117:AV125" si="626">AU117-AT117</f>
        <v>0</v>
      </c>
      <c r="AW117" s="298">
        <f t="shared" ref="AW117:AX117" si="627">AW6*AW26</f>
        <v>0</v>
      </c>
      <c r="AX117" s="299">
        <f t="shared" si="627"/>
        <v>0</v>
      </c>
      <c r="AY117" s="262">
        <f t="shared" ref="AY117:AY125" si="628">AX117-AW117</f>
        <v>0</v>
      </c>
      <c r="AZ117" s="298">
        <f t="shared" ref="AZ117:BA117" si="629">AZ6*AZ26</f>
        <v>0</v>
      </c>
      <c r="BA117" s="299">
        <f t="shared" si="629"/>
        <v>0</v>
      </c>
      <c r="BB117" s="262">
        <f t="shared" ref="BB117:BB125" si="630">BA117-AZ117</f>
        <v>0</v>
      </c>
      <c r="BC117" s="298">
        <f t="shared" ref="BC117:BD117" si="631">BC6*BC26</f>
        <v>0</v>
      </c>
      <c r="BD117" s="299">
        <f t="shared" si="631"/>
        <v>0</v>
      </c>
      <c r="BE117" s="262">
        <f t="shared" ref="BE117:BE125" si="632">BD117-BC117</f>
        <v>0</v>
      </c>
      <c r="BF117" s="298">
        <f t="shared" ref="BF117:BG117" si="633">BF6*BF26</f>
        <v>0</v>
      </c>
      <c r="BG117" s="299">
        <f t="shared" si="633"/>
        <v>0</v>
      </c>
      <c r="BH117" s="262">
        <f t="shared" ref="BH117:BH125" si="634">BG117-BF117</f>
        <v>0</v>
      </c>
      <c r="BI117" s="298">
        <f t="shared" si="597"/>
        <v>0</v>
      </c>
      <c r="BJ117" s="299">
        <f t="shared" si="597"/>
        <v>0</v>
      </c>
      <c r="BK117" s="262">
        <f t="shared" ref="BK117:BK125" si="635">BJ117-BI117</f>
        <v>0</v>
      </c>
      <c r="BL117" s="298">
        <f t="shared" si="598"/>
        <v>0</v>
      </c>
      <c r="BM117" s="299">
        <f t="shared" si="598"/>
        <v>0</v>
      </c>
      <c r="BN117" s="262">
        <f t="shared" ref="BN117:BN125" si="636">BM117-BL117</f>
        <v>0</v>
      </c>
      <c r="BO117" s="298">
        <f t="shared" si="599"/>
        <v>0</v>
      </c>
      <c r="BP117" s="299">
        <f t="shared" si="599"/>
        <v>0</v>
      </c>
      <c r="BQ117" s="262">
        <f t="shared" ref="BQ117:BQ125" si="637">BP117-BO117</f>
        <v>0</v>
      </c>
    </row>
    <row r="118" spans="1:70">
      <c r="A118" s="787"/>
      <c r="B118" s="789"/>
      <c r="C118" s="290" t="s">
        <v>27</v>
      </c>
      <c r="D118" s="291">
        <f t="shared" si="577"/>
        <v>0</v>
      </c>
      <c r="E118" s="292">
        <f t="shared" si="161"/>
        <v>0</v>
      </c>
      <c r="F118" s="293">
        <f t="shared" si="578"/>
        <v>0</v>
      </c>
      <c r="G118" s="298">
        <f t="shared" si="579"/>
        <v>0</v>
      </c>
      <c r="H118" s="299">
        <f t="shared" si="579"/>
        <v>0</v>
      </c>
      <c r="I118" s="262">
        <f t="shared" si="600"/>
        <v>0</v>
      </c>
      <c r="J118" s="298">
        <f t="shared" ref="J118:K118" si="638">J7*J27</f>
        <v>0</v>
      </c>
      <c r="K118" s="299">
        <f t="shared" si="638"/>
        <v>0</v>
      </c>
      <c r="L118" s="262">
        <f t="shared" si="602"/>
        <v>0</v>
      </c>
      <c r="M118" s="298">
        <f t="shared" ref="M118:N118" si="639">M7*M27</f>
        <v>0</v>
      </c>
      <c r="N118" s="299">
        <f t="shared" si="639"/>
        <v>0</v>
      </c>
      <c r="O118" s="262">
        <f t="shared" si="604"/>
        <v>0</v>
      </c>
      <c r="P118" s="298">
        <f t="shared" ref="P118:Q118" si="640">P7*P27</f>
        <v>0</v>
      </c>
      <c r="Q118" s="299">
        <f t="shared" si="640"/>
        <v>0</v>
      </c>
      <c r="R118" s="262">
        <f t="shared" si="606"/>
        <v>0</v>
      </c>
      <c r="S118" s="298">
        <f t="shared" ref="S118:T118" si="641">S7*S27</f>
        <v>0</v>
      </c>
      <c r="T118" s="299">
        <f t="shared" si="641"/>
        <v>0</v>
      </c>
      <c r="U118" s="262">
        <f t="shared" si="608"/>
        <v>0</v>
      </c>
      <c r="V118" s="298">
        <f t="shared" ref="V118:W118" si="642">V7*V27</f>
        <v>0</v>
      </c>
      <c r="W118" s="299">
        <f t="shared" si="642"/>
        <v>0</v>
      </c>
      <c r="X118" s="262">
        <f t="shared" si="610"/>
        <v>0</v>
      </c>
      <c r="Y118" s="298">
        <f t="shared" ref="Y118:Z118" si="643">Y7*Y27</f>
        <v>0</v>
      </c>
      <c r="Z118" s="299">
        <f t="shared" si="643"/>
        <v>0</v>
      </c>
      <c r="AA118" s="262">
        <f t="shared" si="612"/>
        <v>0</v>
      </c>
      <c r="AB118" s="298">
        <f t="shared" ref="AB118:AC118" si="644">AB7*AB27</f>
        <v>0</v>
      </c>
      <c r="AC118" s="299">
        <f t="shared" si="644"/>
        <v>0</v>
      </c>
      <c r="AD118" s="262">
        <f t="shared" si="614"/>
        <v>0</v>
      </c>
      <c r="AE118" s="298">
        <f t="shared" ref="AE118:AF118" si="645">AE7*AE27</f>
        <v>0</v>
      </c>
      <c r="AF118" s="299">
        <f t="shared" si="645"/>
        <v>0</v>
      </c>
      <c r="AG118" s="262">
        <f t="shared" si="616"/>
        <v>0</v>
      </c>
      <c r="AH118" s="298">
        <f t="shared" ref="AH118:AI118" si="646">AH7*AH27</f>
        <v>0</v>
      </c>
      <c r="AI118" s="299">
        <f t="shared" si="646"/>
        <v>0</v>
      </c>
      <c r="AJ118" s="262">
        <f t="shared" si="618"/>
        <v>0</v>
      </c>
      <c r="AK118" s="298">
        <f t="shared" ref="AK118:AL118" si="647">AK7*AK27</f>
        <v>0</v>
      </c>
      <c r="AL118" s="299">
        <f t="shared" si="647"/>
        <v>0</v>
      </c>
      <c r="AM118" s="262">
        <f t="shared" si="620"/>
        <v>0</v>
      </c>
      <c r="AN118" s="298">
        <f t="shared" ref="AN118:AO118" si="648">AN7*AN27</f>
        <v>0</v>
      </c>
      <c r="AO118" s="299">
        <f t="shared" si="648"/>
        <v>0</v>
      </c>
      <c r="AP118" s="262">
        <f t="shared" si="622"/>
        <v>0</v>
      </c>
      <c r="AQ118" s="298">
        <f t="shared" ref="AQ118:AR118" si="649">AQ7*AQ27</f>
        <v>0</v>
      </c>
      <c r="AR118" s="299">
        <f t="shared" si="649"/>
        <v>0</v>
      </c>
      <c r="AS118" s="262">
        <f t="shared" si="624"/>
        <v>0</v>
      </c>
      <c r="AT118" s="298">
        <f t="shared" ref="AT118:AU118" si="650">AT7*AT27</f>
        <v>0</v>
      </c>
      <c r="AU118" s="299">
        <f t="shared" si="650"/>
        <v>0</v>
      </c>
      <c r="AV118" s="262">
        <f t="shared" si="626"/>
        <v>0</v>
      </c>
      <c r="AW118" s="298">
        <f t="shared" ref="AW118:AX118" si="651">AW7*AW27</f>
        <v>0</v>
      </c>
      <c r="AX118" s="299">
        <f t="shared" si="651"/>
        <v>0</v>
      </c>
      <c r="AY118" s="262">
        <f t="shared" si="628"/>
        <v>0</v>
      </c>
      <c r="AZ118" s="298">
        <f t="shared" ref="AZ118:BA118" si="652">AZ7*AZ27</f>
        <v>0</v>
      </c>
      <c r="BA118" s="299">
        <f t="shared" si="652"/>
        <v>0</v>
      </c>
      <c r="BB118" s="262">
        <f t="shared" si="630"/>
        <v>0</v>
      </c>
      <c r="BC118" s="298">
        <f t="shared" ref="BC118:BD118" si="653">BC7*BC27</f>
        <v>0</v>
      </c>
      <c r="BD118" s="299">
        <f t="shared" si="653"/>
        <v>0</v>
      </c>
      <c r="BE118" s="262">
        <f t="shared" si="632"/>
        <v>0</v>
      </c>
      <c r="BF118" s="298">
        <f t="shared" ref="BF118:BG118" si="654">BF7*BF27</f>
        <v>0</v>
      </c>
      <c r="BG118" s="299">
        <f t="shared" si="654"/>
        <v>0</v>
      </c>
      <c r="BH118" s="262">
        <f t="shared" si="634"/>
        <v>0</v>
      </c>
      <c r="BI118" s="298">
        <f t="shared" si="597"/>
        <v>0</v>
      </c>
      <c r="BJ118" s="299">
        <f t="shared" si="597"/>
        <v>0</v>
      </c>
      <c r="BK118" s="262">
        <f t="shared" si="635"/>
        <v>0</v>
      </c>
      <c r="BL118" s="298">
        <f t="shared" si="598"/>
        <v>0</v>
      </c>
      <c r="BM118" s="299">
        <f t="shared" si="598"/>
        <v>0</v>
      </c>
      <c r="BN118" s="262">
        <f t="shared" si="636"/>
        <v>0</v>
      </c>
      <c r="BO118" s="298">
        <f t="shared" si="599"/>
        <v>0</v>
      </c>
      <c r="BP118" s="299">
        <f t="shared" si="599"/>
        <v>0</v>
      </c>
      <c r="BQ118" s="262">
        <f t="shared" si="637"/>
        <v>0</v>
      </c>
    </row>
    <row r="119" spans="1:70">
      <c r="A119" s="787"/>
      <c r="B119" s="789"/>
      <c r="C119" s="290" t="s">
        <v>28</v>
      </c>
      <c r="D119" s="291">
        <f t="shared" si="577"/>
        <v>0</v>
      </c>
      <c r="E119" s="292">
        <f t="shared" si="161"/>
        <v>0</v>
      </c>
      <c r="F119" s="293">
        <f t="shared" si="578"/>
        <v>0</v>
      </c>
      <c r="G119" s="298">
        <f t="shared" si="579"/>
        <v>0</v>
      </c>
      <c r="H119" s="299">
        <f t="shared" si="579"/>
        <v>0</v>
      </c>
      <c r="I119" s="262">
        <f t="shared" si="600"/>
        <v>0</v>
      </c>
      <c r="J119" s="298">
        <f t="shared" ref="J119:K119" si="655">J8*J28</f>
        <v>0</v>
      </c>
      <c r="K119" s="299">
        <f t="shared" si="655"/>
        <v>0</v>
      </c>
      <c r="L119" s="262">
        <f t="shared" si="602"/>
        <v>0</v>
      </c>
      <c r="M119" s="298">
        <f t="shared" ref="M119:N119" si="656">M8*M28</f>
        <v>0</v>
      </c>
      <c r="N119" s="299">
        <f t="shared" si="656"/>
        <v>0</v>
      </c>
      <c r="O119" s="262">
        <f t="shared" si="604"/>
        <v>0</v>
      </c>
      <c r="P119" s="298">
        <f t="shared" ref="P119:Q119" si="657">P8*P28</f>
        <v>0</v>
      </c>
      <c r="Q119" s="299">
        <f t="shared" si="657"/>
        <v>0</v>
      </c>
      <c r="R119" s="262">
        <f t="shared" si="606"/>
        <v>0</v>
      </c>
      <c r="S119" s="298">
        <f t="shared" ref="S119:T119" si="658">S8*S28</f>
        <v>0</v>
      </c>
      <c r="T119" s="299">
        <f t="shared" si="658"/>
        <v>0</v>
      </c>
      <c r="U119" s="262">
        <f t="shared" si="608"/>
        <v>0</v>
      </c>
      <c r="V119" s="298">
        <f t="shared" ref="V119:W119" si="659">V8*V28</f>
        <v>0</v>
      </c>
      <c r="W119" s="299">
        <f t="shared" si="659"/>
        <v>0</v>
      </c>
      <c r="X119" s="262">
        <f t="shared" si="610"/>
        <v>0</v>
      </c>
      <c r="Y119" s="298">
        <f t="shared" ref="Y119:Z119" si="660">Y8*Y28</f>
        <v>0</v>
      </c>
      <c r="Z119" s="299">
        <f t="shared" si="660"/>
        <v>0</v>
      </c>
      <c r="AA119" s="262">
        <f t="shared" si="612"/>
        <v>0</v>
      </c>
      <c r="AB119" s="298">
        <f t="shared" ref="AB119:AC119" si="661">AB8*AB28</f>
        <v>0</v>
      </c>
      <c r="AC119" s="299">
        <f t="shared" si="661"/>
        <v>0</v>
      </c>
      <c r="AD119" s="262">
        <f t="shared" si="614"/>
        <v>0</v>
      </c>
      <c r="AE119" s="298">
        <f t="shared" ref="AE119:AF119" si="662">AE8*AE28</f>
        <v>0</v>
      </c>
      <c r="AF119" s="299">
        <f t="shared" si="662"/>
        <v>0</v>
      </c>
      <c r="AG119" s="262">
        <f t="shared" si="616"/>
        <v>0</v>
      </c>
      <c r="AH119" s="298">
        <f t="shared" ref="AH119:AI119" si="663">AH8*AH28</f>
        <v>0</v>
      </c>
      <c r="AI119" s="299">
        <f t="shared" si="663"/>
        <v>0</v>
      </c>
      <c r="AJ119" s="262">
        <f t="shared" si="618"/>
        <v>0</v>
      </c>
      <c r="AK119" s="298">
        <f t="shared" ref="AK119:AL119" si="664">AK8*AK28</f>
        <v>0</v>
      </c>
      <c r="AL119" s="299">
        <f t="shared" si="664"/>
        <v>0</v>
      </c>
      <c r="AM119" s="262">
        <f t="shared" si="620"/>
        <v>0</v>
      </c>
      <c r="AN119" s="298">
        <f t="shared" ref="AN119:AO119" si="665">AN8*AN28</f>
        <v>0</v>
      </c>
      <c r="AO119" s="299">
        <f t="shared" si="665"/>
        <v>0</v>
      </c>
      <c r="AP119" s="262">
        <f t="shared" si="622"/>
        <v>0</v>
      </c>
      <c r="AQ119" s="298">
        <f t="shared" ref="AQ119:AR119" si="666">AQ8*AQ28</f>
        <v>0</v>
      </c>
      <c r="AR119" s="299">
        <f t="shared" si="666"/>
        <v>0</v>
      </c>
      <c r="AS119" s="262">
        <f t="shared" si="624"/>
        <v>0</v>
      </c>
      <c r="AT119" s="298">
        <f t="shared" ref="AT119:AU119" si="667">AT8*AT28</f>
        <v>0</v>
      </c>
      <c r="AU119" s="299">
        <f t="shared" si="667"/>
        <v>0</v>
      </c>
      <c r="AV119" s="262">
        <f t="shared" si="626"/>
        <v>0</v>
      </c>
      <c r="AW119" s="298">
        <f t="shared" ref="AW119:AX119" si="668">AW8*AW28</f>
        <v>0</v>
      </c>
      <c r="AX119" s="299">
        <f t="shared" si="668"/>
        <v>0</v>
      </c>
      <c r="AY119" s="262">
        <f t="shared" si="628"/>
        <v>0</v>
      </c>
      <c r="AZ119" s="298">
        <f t="shared" ref="AZ119:BA119" si="669">AZ8*AZ28</f>
        <v>0</v>
      </c>
      <c r="BA119" s="299">
        <f t="shared" si="669"/>
        <v>0</v>
      </c>
      <c r="BB119" s="262">
        <f t="shared" si="630"/>
        <v>0</v>
      </c>
      <c r="BC119" s="298">
        <f t="shared" ref="BC119:BD119" si="670">BC8*BC28</f>
        <v>0</v>
      </c>
      <c r="BD119" s="299">
        <f t="shared" si="670"/>
        <v>0</v>
      </c>
      <c r="BE119" s="262">
        <f t="shared" si="632"/>
        <v>0</v>
      </c>
      <c r="BF119" s="298">
        <f t="shared" ref="BF119:BG119" si="671">BF8*BF28</f>
        <v>0</v>
      </c>
      <c r="BG119" s="299">
        <f t="shared" si="671"/>
        <v>0</v>
      </c>
      <c r="BH119" s="262">
        <f t="shared" si="634"/>
        <v>0</v>
      </c>
      <c r="BI119" s="298">
        <f t="shared" si="597"/>
        <v>0</v>
      </c>
      <c r="BJ119" s="299">
        <f t="shared" si="597"/>
        <v>0</v>
      </c>
      <c r="BK119" s="262">
        <f t="shared" si="635"/>
        <v>0</v>
      </c>
      <c r="BL119" s="298">
        <f t="shared" si="598"/>
        <v>0</v>
      </c>
      <c r="BM119" s="299">
        <f t="shared" si="598"/>
        <v>0</v>
      </c>
      <c r="BN119" s="262">
        <f t="shared" si="636"/>
        <v>0</v>
      </c>
      <c r="BO119" s="298">
        <f t="shared" si="599"/>
        <v>0</v>
      </c>
      <c r="BP119" s="299">
        <f t="shared" si="599"/>
        <v>0</v>
      </c>
      <c r="BQ119" s="262">
        <f t="shared" si="637"/>
        <v>0</v>
      </c>
    </row>
    <row r="120" spans="1:70">
      <c r="A120" s="787"/>
      <c r="B120" s="789"/>
      <c r="C120" s="290" t="s">
        <v>29</v>
      </c>
      <c r="D120" s="291">
        <f t="shared" si="577"/>
        <v>0</v>
      </c>
      <c r="E120" s="292">
        <f t="shared" si="161"/>
        <v>0</v>
      </c>
      <c r="F120" s="293">
        <f t="shared" si="578"/>
        <v>0</v>
      </c>
      <c r="G120" s="298">
        <f t="shared" si="579"/>
        <v>0</v>
      </c>
      <c r="H120" s="299">
        <f t="shared" si="579"/>
        <v>0</v>
      </c>
      <c r="I120" s="262">
        <f t="shared" si="600"/>
        <v>0</v>
      </c>
      <c r="J120" s="298">
        <f t="shared" ref="J120:K120" si="672">J9*J29</f>
        <v>0</v>
      </c>
      <c r="K120" s="299">
        <f t="shared" si="672"/>
        <v>0</v>
      </c>
      <c r="L120" s="262">
        <f t="shared" si="602"/>
        <v>0</v>
      </c>
      <c r="M120" s="298">
        <f t="shared" ref="M120:N120" si="673">M9*M29</f>
        <v>0</v>
      </c>
      <c r="N120" s="299">
        <f t="shared" si="673"/>
        <v>0</v>
      </c>
      <c r="O120" s="262">
        <f t="shared" si="604"/>
        <v>0</v>
      </c>
      <c r="P120" s="298">
        <f t="shared" ref="P120:Q120" si="674">P9*P29</f>
        <v>0</v>
      </c>
      <c r="Q120" s="299">
        <f t="shared" si="674"/>
        <v>0</v>
      </c>
      <c r="R120" s="262">
        <f t="shared" si="606"/>
        <v>0</v>
      </c>
      <c r="S120" s="298">
        <f t="shared" ref="S120:T120" si="675">S9*S29</f>
        <v>0</v>
      </c>
      <c r="T120" s="299">
        <f t="shared" si="675"/>
        <v>0</v>
      </c>
      <c r="U120" s="262">
        <f t="shared" si="608"/>
        <v>0</v>
      </c>
      <c r="V120" s="298">
        <f t="shared" ref="V120:W120" si="676">V9*V29</f>
        <v>0</v>
      </c>
      <c r="W120" s="299">
        <f t="shared" si="676"/>
        <v>0</v>
      </c>
      <c r="X120" s="262">
        <f t="shared" si="610"/>
        <v>0</v>
      </c>
      <c r="Y120" s="298">
        <f t="shared" ref="Y120:Z120" si="677">Y9*Y29</f>
        <v>0</v>
      </c>
      <c r="Z120" s="299">
        <f t="shared" si="677"/>
        <v>0</v>
      </c>
      <c r="AA120" s="262">
        <f t="shared" si="612"/>
        <v>0</v>
      </c>
      <c r="AB120" s="298">
        <f t="shared" ref="AB120:AC120" si="678">AB9*AB29</f>
        <v>0</v>
      </c>
      <c r="AC120" s="299">
        <f t="shared" si="678"/>
        <v>0</v>
      </c>
      <c r="AD120" s="262">
        <f t="shared" si="614"/>
        <v>0</v>
      </c>
      <c r="AE120" s="298">
        <f t="shared" ref="AE120:AF120" si="679">AE9*AE29</f>
        <v>0</v>
      </c>
      <c r="AF120" s="299">
        <f t="shared" si="679"/>
        <v>0</v>
      </c>
      <c r="AG120" s="262">
        <f t="shared" si="616"/>
        <v>0</v>
      </c>
      <c r="AH120" s="298">
        <f t="shared" ref="AH120:AI120" si="680">AH9*AH29</f>
        <v>0</v>
      </c>
      <c r="AI120" s="299">
        <f t="shared" si="680"/>
        <v>0</v>
      </c>
      <c r="AJ120" s="262">
        <f t="shared" si="618"/>
        <v>0</v>
      </c>
      <c r="AK120" s="298">
        <f t="shared" ref="AK120:AL120" si="681">AK9*AK29</f>
        <v>0</v>
      </c>
      <c r="AL120" s="299">
        <f t="shared" si="681"/>
        <v>0</v>
      </c>
      <c r="AM120" s="262">
        <f t="shared" si="620"/>
        <v>0</v>
      </c>
      <c r="AN120" s="298">
        <f t="shared" ref="AN120:AO120" si="682">AN9*AN29</f>
        <v>0</v>
      </c>
      <c r="AO120" s="299">
        <f t="shared" si="682"/>
        <v>0</v>
      </c>
      <c r="AP120" s="262">
        <f t="shared" si="622"/>
        <v>0</v>
      </c>
      <c r="AQ120" s="298">
        <f t="shared" ref="AQ120:AR120" si="683">AQ9*AQ29</f>
        <v>0</v>
      </c>
      <c r="AR120" s="299">
        <f t="shared" si="683"/>
        <v>0</v>
      </c>
      <c r="AS120" s="262">
        <f t="shared" si="624"/>
        <v>0</v>
      </c>
      <c r="AT120" s="298">
        <f t="shared" ref="AT120:AU120" si="684">AT9*AT29</f>
        <v>0</v>
      </c>
      <c r="AU120" s="299">
        <f t="shared" si="684"/>
        <v>0</v>
      </c>
      <c r="AV120" s="262">
        <f t="shared" si="626"/>
        <v>0</v>
      </c>
      <c r="AW120" s="298">
        <f t="shared" ref="AW120:AX120" si="685">AW9*AW29</f>
        <v>0</v>
      </c>
      <c r="AX120" s="299">
        <f t="shared" si="685"/>
        <v>0</v>
      </c>
      <c r="AY120" s="262">
        <f t="shared" si="628"/>
        <v>0</v>
      </c>
      <c r="AZ120" s="298">
        <f t="shared" ref="AZ120:BA120" si="686">AZ9*AZ29</f>
        <v>0</v>
      </c>
      <c r="BA120" s="299">
        <f t="shared" si="686"/>
        <v>0</v>
      </c>
      <c r="BB120" s="262">
        <f t="shared" si="630"/>
        <v>0</v>
      </c>
      <c r="BC120" s="298">
        <f t="shared" ref="BC120:BD120" si="687">BC9*BC29</f>
        <v>0</v>
      </c>
      <c r="BD120" s="299">
        <f t="shared" si="687"/>
        <v>0</v>
      </c>
      <c r="BE120" s="262">
        <f t="shared" si="632"/>
        <v>0</v>
      </c>
      <c r="BF120" s="298">
        <f t="shared" ref="BF120:BG120" si="688">BF9*BF29</f>
        <v>0</v>
      </c>
      <c r="BG120" s="299">
        <f t="shared" si="688"/>
        <v>0</v>
      </c>
      <c r="BH120" s="262">
        <f t="shared" si="634"/>
        <v>0</v>
      </c>
      <c r="BI120" s="298">
        <f t="shared" si="597"/>
        <v>0</v>
      </c>
      <c r="BJ120" s="299">
        <f t="shared" si="597"/>
        <v>0</v>
      </c>
      <c r="BK120" s="262">
        <f t="shared" si="635"/>
        <v>0</v>
      </c>
      <c r="BL120" s="298">
        <f t="shared" si="598"/>
        <v>0</v>
      </c>
      <c r="BM120" s="299">
        <f t="shared" si="598"/>
        <v>0</v>
      </c>
      <c r="BN120" s="262">
        <f t="shared" si="636"/>
        <v>0</v>
      </c>
      <c r="BO120" s="298">
        <f t="shared" si="599"/>
        <v>0</v>
      </c>
      <c r="BP120" s="299">
        <f t="shared" si="599"/>
        <v>0</v>
      </c>
      <c r="BQ120" s="262">
        <f t="shared" si="637"/>
        <v>0</v>
      </c>
    </row>
    <row r="121" spans="1:70">
      <c r="A121" s="787"/>
      <c r="B121" s="789"/>
      <c r="C121" s="290" t="s">
        <v>30</v>
      </c>
      <c r="D121" s="291">
        <f t="shared" si="577"/>
        <v>0</v>
      </c>
      <c r="E121" s="292">
        <f t="shared" si="161"/>
        <v>0</v>
      </c>
      <c r="F121" s="293">
        <f t="shared" si="578"/>
        <v>0</v>
      </c>
      <c r="G121" s="298">
        <f t="shared" si="579"/>
        <v>0</v>
      </c>
      <c r="H121" s="299">
        <f t="shared" si="579"/>
        <v>0</v>
      </c>
      <c r="I121" s="262">
        <f t="shared" si="600"/>
        <v>0</v>
      </c>
      <c r="J121" s="298">
        <f t="shared" ref="J121:K121" si="689">J10*J30</f>
        <v>0</v>
      </c>
      <c r="K121" s="299">
        <f t="shared" si="689"/>
        <v>0</v>
      </c>
      <c r="L121" s="262">
        <f t="shared" si="602"/>
        <v>0</v>
      </c>
      <c r="M121" s="298">
        <f t="shared" ref="M121:N121" si="690">M10*M30</f>
        <v>0</v>
      </c>
      <c r="N121" s="299">
        <f t="shared" si="690"/>
        <v>0</v>
      </c>
      <c r="O121" s="262">
        <f t="shared" si="604"/>
        <v>0</v>
      </c>
      <c r="P121" s="298">
        <f t="shared" ref="P121:Q121" si="691">P10*P30</f>
        <v>0</v>
      </c>
      <c r="Q121" s="299">
        <f t="shared" si="691"/>
        <v>0</v>
      </c>
      <c r="R121" s="262">
        <f t="shared" si="606"/>
        <v>0</v>
      </c>
      <c r="S121" s="298">
        <f t="shared" ref="S121:T121" si="692">S10*S30</f>
        <v>0</v>
      </c>
      <c r="T121" s="299">
        <f t="shared" si="692"/>
        <v>0</v>
      </c>
      <c r="U121" s="262">
        <f t="shared" si="608"/>
        <v>0</v>
      </c>
      <c r="V121" s="298">
        <f t="shared" ref="V121:W121" si="693">V10*V30</f>
        <v>0</v>
      </c>
      <c r="W121" s="299">
        <f t="shared" si="693"/>
        <v>0</v>
      </c>
      <c r="X121" s="262">
        <f t="shared" si="610"/>
        <v>0</v>
      </c>
      <c r="Y121" s="298">
        <f t="shared" ref="Y121:Z121" si="694">Y10*Y30</f>
        <v>0</v>
      </c>
      <c r="Z121" s="299">
        <f t="shared" si="694"/>
        <v>0</v>
      </c>
      <c r="AA121" s="262">
        <f t="shared" si="612"/>
        <v>0</v>
      </c>
      <c r="AB121" s="298">
        <f t="shared" ref="AB121:AC121" si="695">AB10*AB30</f>
        <v>0</v>
      </c>
      <c r="AC121" s="299">
        <f t="shared" si="695"/>
        <v>0</v>
      </c>
      <c r="AD121" s="262">
        <f t="shared" si="614"/>
        <v>0</v>
      </c>
      <c r="AE121" s="298">
        <f t="shared" ref="AE121:AF121" si="696">AE10*AE30</f>
        <v>0</v>
      </c>
      <c r="AF121" s="299">
        <f t="shared" si="696"/>
        <v>0</v>
      </c>
      <c r="AG121" s="262">
        <f t="shared" si="616"/>
        <v>0</v>
      </c>
      <c r="AH121" s="298">
        <f t="shared" ref="AH121:AI121" si="697">AH10*AH30</f>
        <v>0</v>
      </c>
      <c r="AI121" s="299">
        <f t="shared" si="697"/>
        <v>0</v>
      </c>
      <c r="AJ121" s="262">
        <f t="shared" si="618"/>
        <v>0</v>
      </c>
      <c r="AK121" s="298">
        <f t="shared" ref="AK121:AL121" si="698">AK10*AK30</f>
        <v>0</v>
      </c>
      <c r="AL121" s="299">
        <f t="shared" si="698"/>
        <v>0</v>
      </c>
      <c r="AM121" s="262">
        <f t="shared" si="620"/>
        <v>0</v>
      </c>
      <c r="AN121" s="298">
        <f t="shared" ref="AN121:AO121" si="699">AN10*AN30</f>
        <v>0</v>
      </c>
      <c r="AO121" s="299">
        <f t="shared" si="699"/>
        <v>0</v>
      </c>
      <c r="AP121" s="262">
        <f t="shared" si="622"/>
        <v>0</v>
      </c>
      <c r="AQ121" s="298">
        <f t="shared" ref="AQ121:AR121" si="700">AQ10*AQ30</f>
        <v>0</v>
      </c>
      <c r="AR121" s="299">
        <f t="shared" si="700"/>
        <v>0</v>
      </c>
      <c r="AS121" s="262">
        <f t="shared" si="624"/>
        <v>0</v>
      </c>
      <c r="AT121" s="298">
        <f t="shared" ref="AT121:AU121" si="701">AT10*AT30</f>
        <v>0</v>
      </c>
      <c r="AU121" s="299">
        <f t="shared" si="701"/>
        <v>0</v>
      </c>
      <c r="AV121" s="262">
        <f t="shared" si="626"/>
        <v>0</v>
      </c>
      <c r="AW121" s="298">
        <f t="shared" ref="AW121:AX121" si="702">AW10*AW30</f>
        <v>0</v>
      </c>
      <c r="AX121" s="299">
        <f t="shared" si="702"/>
        <v>0</v>
      </c>
      <c r="AY121" s="262">
        <f t="shared" si="628"/>
        <v>0</v>
      </c>
      <c r="AZ121" s="298">
        <f t="shared" ref="AZ121:BA121" si="703">AZ10*AZ30</f>
        <v>0</v>
      </c>
      <c r="BA121" s="299">
        <f t="shared" si="703"/>
        <v>0</v>
      </c>
      <c r="BB121" s="262">
        <f t="shared" si="630"/>
        <v>0</v>
      </c>
      <c r="BC121" s="298">
        <f t="shared" ref="BC121:BD121" si="704">BC10*BC30</f>
        <v>0</v>
      </c>
      <c r="BD121" s="299">
        <f t="shared" si="704"/>
        <v>0</v>
      </c>
      <c r="BE121" s="262">
        <f t="shared" si="632"/>
        <v>0</v>
      </c>
      <c r="BF121" s="298">
        <f t="shared" ref="BF121:BG121" si="705">BF10*BF30</f>
        <v>0</v>
      </c>
      <c r="BG121" s="299">
        <f t="shared" si="705"/>
        <v>0</v>
      </c>
      <c r="BH121" s="262">
        <f t="shared" si="634"/>
        <v>0</v>
      </c>
      <c r="BI121" s="298">
        <f t="shared" si="597"/>
        <v>0</v>
      </c>
      <c r="BJ121" s="299">
        <f t="shared" si="597"/>
        <v>0</v>
      </c>
      <c r="BK121" s="262">
        <f t="shared" si="635"/>
        <v>0</v>
      </c>
      <c r="BL121" s="298">
        <f t="shared" si="598"/>
        <v>0</v>
      </c>
      <c r="BM121" s="299">
        <f t="shared" si="598"/>
        <v>0</v>
      </c>
      <c r="BN121" s="262">
        <f t="shared" si="636"/>
        <v>0</v>
      </c>
      <c r="BO121" s="298">
        <f t="shared" si="599"/>
        <v>0</v>
      </c>
      <c r="BP121" s="299">
        <f t="shared" si="599"/>
        <v>0</v>
      </c>
      <c r="BQ121" s="262">
        <f t="shared" si="637"/>
        <v>0</v>
      </c>
    </row>
    <row r="122" spans="1:70">
      <c r="A122" s="787"/>
      <c r="B122" s="789"/>
      <c r="C122" s="290" t="s">
        <v>31</v>
      </c>
      <c r="D122" s="291">
        <f t="shared" si="577"/>
        <v>0</v>
      </c>
      <c r="E122" s="292">
        <f t="shared" si="161"/>
        <v>0</v>
      </c>
      <c r="F122" s="293">
        <f t="shared" si="578"/>
        <v>0</v>
      </c>
      <c r="G122" s="298">
        <f t="shared" si="579"/>
        <v>0</v>
      </c>
      <c r="H122" s="299">
        <f t="shared" si="579"/>
        <v>0</v>
      </c>
      <c r="I122" s="262">
        <f t="shared" si="600"/>
        <v>0</v>
      </c>
      <c r="J122" s="298">
        <f t="shared" ref="J122:K122" si="706">J11*J31</f>
        <v>0</v>
      </c>
      <c r="K122" s="299">
        <f t="shared" si="706"/>
        <v>0</v>
      </c>
      <c r="L122" s="262">
        <f t="shared" si="602"/>
        <v>0</v>
      </c>
      <c r="M122" s="298">
        <f t="shared" ref="M122:N122" si="707">M11*M31</f>
        <v>0</v>
      </c>
      <c r="N122" s="299">
        <f t="shared" si="707"/>
        <v>0</v>
      </c>
      <c r="O122" s="262">
        <f t="shared" si="604"/>
        <v>0</v>
      </c>
      <c r="P122" s="298">
        <f t="shared" ref="P122:Q122" si="708">P11*P31</f>
        <v>0</v>
      </c>
      <c r="Q122" s="299">
        <f t="shared" si="708"/>
        <v>0</v>
      </c>
      <c r="R122" s="262">
        <f t="shared" si="606"/>
        <v>0</v>
      </c>
      <c r="S122" s="298">
        <f t="shared" ref="S122:T122" si="709">S11*S31</f>
        <v>0</v>
      </c>
      <c r="T122" s="299">
        <f t="shared" si="709"/>
        <v>0</v>
      </c>
      <c r="U122" s="262">
        <f t="shared" si="608"/>
        <v>0</v>
      </c>
      <c r="V122" s="298">
        <f t="shared" ref="V122:W122" si="710">V11*V31</f>
        <v>0</v>
      </c>
      <c r="W122" s="299">
        <f t="shared" si="710"/>
        <v>0</v>
      </c>
      <c r="X122" s="262">
        <f t="shared" si="610"/>
        <v>0</v>
      </c>
      <c r="Y122" s="298">
        <f t="shared" ref="Y122:Z122" si="711">Y11*Y31</f>
        <v>0</v>
      </c>
      <c r="Z122" s="299">
        <f t="shared" si="711"/>
        <v>0</v>
      </c>
      <c r="AA122" s="262">
        <f t="shared" si="612"/>
        <v>0</v>
      </c>
      <c r="AB122" s="298">
        <f t="shared" ref="AB122:AC122" si="712">AB11*AB31</f>
        <v>0</v>
      </c>
      <c r="AC122" s="299">
        <f t="shared" si="712"/>
        <v>0</v>
      </c>
      <c r="AD122" s="262">
        <f t="shared" si="614"/>
        <v>0</v>
      </c>
      <c r="AE122" s="298">
        <f t="shared" ref="AE122:AF122" si="713">AE11*AE31</f>
        <v>0</v>
      </c>
      <c r="AF122" s="299">
        <f t="shared" si="713"/>
        <v>0</v>
      </c>
      <c r="AG122" s="262">
        <f t="shared" si="616"/>
        <v>0</v>
      </c>
      <c r="AH122" s="298">
        <f t="shared" ref="AH122:AI122" si="714">AH11*AH31</f>
        <v>0</v>
      </c>
      <c r="AI122" s="299">
        <f t="shared" si="714"/>
        <v>0</v>
      </c>
      <c r="AJ122" s="262">
        <f t="shared" si="618"/>
        <v>0</v>
      </c>
      <c r="AK122" s="298">
        <f t="shared" ref="AK122:AL122" si="715">AK11*AK31</f>
        <v>0</v>
      </c>
      <c r="AL122" s="299">
        <f t="shared" si="715"/>
        <v>0</v>
      </c>
      <c r="AM122" s="262">
        <f t="shared" si="620"/>
        <v>0</v>
      </c>
      <c r="AN122" s="298">
        <f t="shared" ref="AN122:AO122" si="716">AN11*AN31</f>
        <v>0</v>
      </c>
      <c r="AO122" s="299">
        <f t="shared" si="716"/>
        <v>0</v>
      </c>
      <c r="AP122" s="262">
        <f t="shared" si="622"/>
        <v>0</v>
      </c>
      <c r="AQ122" s="298">
        <f t="shared" ref="AQ122:AR122" si="717">AQ11*AQ31</f>
        <v>0</v>
      </c>
      <c r="AR122" s="299">
        <f t="shared" si="717"/>
        <v>0</v>
      </c>
      <c r="AS122" s="262">
        <f t="shared" si="624"/>
        <v>0</v>
      </c>
      <c r="AT122" s="298">
        <f t="shared" ref="AT122:AU122" si="718">AT11*AT31</f>
        <v>0</v>
      </c>
      <c r="AU122" s="299">
        <f t="shared" si="718"/>
        <v>0</v>
      </c>
      <c r="AV122" s="262">
        <f t="shared" si="626"/>
        <v>0</v>
      </c>
      <c r="AW122" s="298">
        <f t="shared" ref="AW122:AX122" si="719">AW11*AW31</f>
        <v>0</v>
      </c>
      <c r="AX122" s="299">
        <f t="shared" si="719"/>
        <v>0</v>
      </c>
      <c r="AY122" s="262">
        <f t="shared" si="628"/>
        <v>0</v>
      </c>
      <c r="AZ122" s="298">
        <f t="shared" ref="AZ122:BA122" si="720">AZ11*AZ31</f>
        <v>0</v>
      </c>
      <c r="BA122" s="299">
        <f t="shared" si="720"/>
        <v>0</v>
      </c>
      <c r="BB122" s="262">
        <f t="shared" si="630"/>
        <v>0</v>
      </c>
      <c r="BC122" s="298">
        <f t="shared" ref="BC122:BD122" si="721">BC11*BC31</f>
        <v>0</v>
      </c>
      <c r="BD122" s="299">
        <f t="shared" si="721"/>
        <v>0</v>
      </c>
      <c r="BE122" s="262">
        <f t="shared" si="632"/>
        <v>0</v>
      </c>
      <c r="BF122" s="298">
        <f t="shared" ref="BF122:BG122" si="722">BF11*BF31</f>
        <v>0</v>
      </c>
      <c r="BG122" s="299">
        <f t="shared" si="722"/>
        <v>0</v>
      </c>
      <c r="BH122" s="262">
        <f t="shared" si="634"/>
        <v>0</v>
      </c>
      <c r="BI122" s="298">
        <f t="shared" si="597"/>
        <v>0</v>
      </c>
      <c r="BJ122" s="299">
        <f t="shared" si="597"/>
        <v>0</v>
      </c>
      <c r="BK122" s="262">
        <f t="shared" si="635"/>
        <v>0</v>
      </c>
      <c r="BL122" s="298">
        <f t="shared" si="598"/>
        <v>0</v>
      </c>
      <c r="BM122" s="299">
        <f t="shared" si="598"/>
        <v>0</v>
      </c>
      <c r="BN122" s="262">
        <f t="shared" si="636"/>
        <v>0</v>
      </c>
      <c r="BO122" s="298">
        <f t="shared" si="599"/>
        <v>0</v>
      </c>
      <c r="BP122" s="299">
        <f t="shared" si="599"/>
        <v>0</v>
      </c>
      <c r="BQ122" s="262">
        <f t="shared" si="637"/>
        <v>0</v>
      </c>
    </row>
    <row r="123" spans="1:70">
      <c r="A123" s="787"/>
      <c r="B123" s="789"/>
      <c r="C123" s="290" t="s">
        <v>32</v>
      </c>
      <c r="D123" s="291">
        <f t="shared" si="577"/>
        <v>0</v>
      </c>
      <c r="E123" s="292">
        <f t="shared" si="161"/>
        <v>0</v>
      </c>
      <c r="F123" s="293">
        <f t="shared" si="578"/>
        <v>0</v>
      </c>
      <c r="G123" s="298">
        <f t="shared" si="579"/>
        <v>0</v>
      </c>
      <c r="H123" s="299">
        <f t="shared" si="579"/>
        <v>0</v>
      </c>
      <c r="I123" s="262">
        <f t="shared" si="600"/>
        <v>0</v>
      </c>
      <c r="J123" s="298">
        <f t="shared" ref="J123:K123" si="723">J12*J32</f>
        <v>0</v>
      </c>
      <c r="K123" s="299">
        <f t="shared" si="723"/>
        <v>0</v>
      </c>
      <c r="L123" s="262">
        <f t="shared" si="602"/>
        <v>0</v>
      </c>
      <c r="M123" s="298">
        <f t="shared" ref="M123:N123" si="724">M12*M32</f>
        <v>0</v>
      </c>
      <c r="N123" s="299">
        <f t="shared" si="724"/>
        <v>0</v>
      </c>
      <c r="O123" s="262">
        <f t="shared" si="604"/>
        <v>0</v>
      </c>
      <c r="P123" s="298">
        <f t="shared" ref="P123:Q123" si="725">P12*P32</f>
        <v>0</v>
      </c>
      <c r="Q123" s="299">
        <f t="shared" si="725"/>
        <v>0</v>
      </c>
      <c r="R123" s="262">
        <f t="shared" si="606"/>
        <v>0</v>
      </c>
      <c r="S123" s="298">
        <f t="shared" ref="S123:T123" si="726">S12*S32</f>
        <v>0</v>
      </c>
      <c r="T123" s="299">
        <f t="shared" si="726"/>
        <v>0</v>
      </c>
      <c r="U123" s="262">
        <f t="shared" si="608"/>
        <v>0</v>
      </c>
      <c r="V123" s="298">
        <f t="shared" ref="V123:W123" si="727">V12*V32</f>
        <v>0</v>
      </c>
      <c r="W123" s="299">
        <f t="shared" si="727"/>
        <v>0</v>
      </c>
      <c r="X123" s="262">
        <f t="shared" si="610"/>
        <v>0</v>
      </c>
      <c r="Y123" s="298">
        <f t="shared" ref="Y123:Z123" si="728">Y12*Y32</f>
        <v>0</v>
      </c>
      <c r="Z123" s="299">
        <f t="shared" si="728"/>
        <v>0</v>
      </c>
      <c r="AA123" s="262">
        <f t="shared" si="612"/>
        <v>0</v>
      </c>
      <c r="AB123" s="298">
        <f t="shared" ref="AB123:AC123" si="729">AB12*AB32</f>
        <v>0</v>
      </c>
      <c r="AC123" s="299">
        <f t="shared" si="729"/>
        <v>0</v>
      </c>
      <c r="AD123" s="262">
        <f t="shared" si="614"/>
        <v>0</v>
      </c>
      <c r="AE123" s="298">
        <f t="shared" ref="AE123:AF123" si="730">AE12*AE32</f>
        <v>0</v>
      </c>
      <c r="AF123" s="299">
        <f t="shared" si="730"/>
        <v>0</v>
      </c>
      <c r="AG123" s="262">
        <f t="shared" si="616"/>
        <v>0</v>
      </c>
      <c r="AH123" s="298">
        <f t="shared" ref="AH123:AI123" si="731">AH12*AH32</f>
        <v>0</v>
      </c>
      <c r="AI123" s="299">
        <f t="shared" si="731"/>
        <v>0</v>
      </c>
      <c r="AJ123" s="262">
        <f t="shared" si="618"/>
        <v>0</v>
      </c>
      <c r="AK123" s="298">
        <f t="shared" ref="AK123:AL123" si="732">AK12*AK32</f>
        <v>0</v>
      </c>
      <c r="AL123" s="299">
        <f t="shared" si="732"/>
        <v>0</v>
      </c>
      <c r="AM123" s="262">
        <f t="shared" si="620"/>
        <v>0</v>
      </c>
      <c r="AN123" s="298">
        <f t="shared" ref="AN123:AO123" si="733">AN12*AN32</f>
        <v>0</v>
      </c>
      <c r="AO123" s="299">
        <f t="shared" si="733"/>
        <v>0</v>
      </c>
      <c r="AP123" s="262">
        <f t="shared" si="622"/>
        <v>0</v>
      </c>
      <c r="AQ123" s="298">
        <f t="shared" ref="AQ123:AR123" si="734">AQ12*AQ32</f>
        <v>0</v>
      </c>
      <c r="AR123" s="299">
        <f t="shared" si="734"/>
        <v>0</v>
      </c>
      <c r="AS123" s="262">
        <f t="shared" si="624"/>
        <v>0</v>
      </c>
      <c r="AT123" s="298">
        <f t="shared" ref="AT123:AU123" si="735">AT12*AT32</f>
        <v>0</v>
      </c>
      <c r="AU123" s="299">
        <f t="shared" si="735"/>
        <v>0</v>
      </c>
      <c r="AV123" s="262">
        <f t="shared" si="626"/>
        <v>0</v>
      </c>
      <c r="AW123" s="298">
        <f t="shared" ref="AW123:AX123" si="736">AW12*AW32</f>
        <v>0</v>
      </c>
      <c r="AX123" s="299">
        <f t="shared" si="736"/>
        <v>0</v>
      </c>
      <c r="AY123" s="262">
        <f t="shared" si="628"/>
        <v>0</v>
      </c>
      <c r="AZ123" s="298">
        <f t="shared" ref="AZ123:BA123" si="737">AZ12*AZ32</f>
        <v>0</v>
      </c>
      <c r="BA123" s="299">
        <f t="shared" si="737"/>
        <v>0</v>
      </c>
      <c r="BB123" s="262">
        <f t="shared" si="630"/>
        <v>0</v>
      </c>
      <c r="BC123" s="298">
        <f t="shared" ref="BC123:BD123" si="738">BC12*BC32</f>
        <v>0</v>
      </c>
      <c r="BD123" s="299">
        <f t="shared" si="738"/>
        <v>0</v>
      </c>
      <c r="BE123" s="262">
        <f t="shared" si="632"/>
        <v>0</v>
      </c>
      <c r="BF123" s="298">
        <f t="shared" ref="BF123:BG123" si="739">BF12*BF32</f>
        <v>0</v>
      </c>
      <c r="BG123" s="299">
        <f t="shared" si="739"/>
        <v>0</v>
      </c>
      <c r="BH123" s="262">
        <f t="shared" si="634"/>
        <v>0</v>
      </c>
      <c r="BI123" s="298">
        <f t="shared" si="597"/>
        <v>0</v>
      </c>
      <c r="BJ123" s="299">
        <f t="shared" si="597"/>
        <v>0</v>
      </c>
      <c r="BK123" s="262">
        <f t="shared" si="635"/>
        <v>0</v>
      </c>
      <c r="BL123" s="298">
        <f t="shared" si="598"/>
        <v>0</v>
      </c>
      <c r="BM123" s="299">
        <f t="shared" si="598"/>
        <v>0</v>
      </c>
      <c r="BN123" s="262">
        <f t="shared" si="636"/>
        <v>0</v>
      </c>
      <c r="BO123" s="298">
        <f t="shared" si="599"/>
        <v>0</v>
      </c>
      <c r="BP123" s="299">
        <f t="shared" si="599"/>
        <v>0</v>
      </c>
      <c r="BQ123" s="262">
        <f t="shared" si="637"/>
        <v>0</v>
      </c>
    </row>
    <row r="124" spans="1:70">
      <c r="A124" s="787"/>
      <c r="B124" s="789"/>
      <c r="C124" s="290" t="s">
        <v>33</v>
      </c>
      <c r="D124" s="291">
        <f t="shared" si="577"/>
        <v>0</v>
      </c>
      <c r="E124" s="292">
        <f t="shared" si="161"/>
        <v>0</v>
      </c>
      <c r="F124" s="293">
        <f t="shared" si="578"/>
        <v>0</v>
      </c>
      <c r="G124" s="298">
        <f t="shared" si="579"/>
        <v>0</v>
      </c>
      <c r="H124" s="299">
        <f t="shared" si="579"/>
        <v>0</v>
      </c>
      <c r="I124" s="262">
        <f t="shared" si="600"/>
        <v>0</v>
      </c>
      <c r="J124" s="298">
        <f t="shared" ref="J124:K124" si="740">J13*J33</f>
        <v>0</v>
      </c>
      <c r="K124" s="299">
        <f t="shared" si="740"/>
        <v>0</v>
      </c>
      <c r="L124" s="262">
        <f t="shared" si="602"/>
        <v>0</v>
      </c>
      <c r="M124" s="298">
        <f t="shared" ref="M124:N124" si="741">M13*M33</f>
        <v>0</v>
      </c>
      <c r="N124" s="299">
        <f t="shared" si="741"/>
        <v>0</v>
      </c>
      <c r="O124" s="262">
        <f t="shared" si="604"/>
        <v>0</v>
      </c>
      <c r="P124" s="298">
        <f t="shared" ref="P124:Q124" si="742">P13*P33</f>
        <v>0</v>
      </c>
      <c r="Q124" s="299">
        <f t="shared" si="742"/>
        <v>0</v>
      </c>
      <c r="R124" s="262">
        <f t="shared" si="606"/>
        <v>0</v>
      </c>
      <c r="S124" s="298">
        <f t="shared" ref="S124:T124" si="743">S13*S33</f>
        <v>0</v>
      </c>
      <c r="T124" s="299">
        <f t="shared" si="743"/>
        <v>0</v>
      </c>
      <c r="U124" s="262">
        <f t="shared" si="608"/>
        <v>0</v>
      </c>
      <c r="V124" s="298">
        <f t="shared" ref="V124:W124" si="744">V13*V33</f>
        <v>0</v>
      </c>
      <c r="W124" s="299">
        <f t="shared" si="744"/>
        <v>0</v>
      </c>
      <c r="X124" s="262">
        <f t="shared" si="610"/>
        <v>0</v>
      </c>
      <c r="Y124" s="298">
        <f t="shared" ref="Y124:Z124" si="745">Y13*Y33</f>
        <v>0</v>
      </c>
      <c r="Z124" s="299">
        <f t="shared" si="745"/>
        <v>0</v>
      </c>
      <c r="AA124" s="262">
        <f t="shared" si="612"/>
        <v>0</v>
      </c>
      <c r="AB124" s="298">
        <f t="shared" ref="AB124:AC124" si="746">AB13*AB33</f>
        <v>0</v>
      </c>
      <c r="AC124" s="299">
        <f t="shared" si="746"/>
        <v>0</v>
      </c>
      <c r="AD124" s="262">
        <f t="shared" si="614"/>
        <v>0</v>
      </c>
      <c r="AE124" s="298">
        <f t="shared" ref="AE124:AF124" si="747">AE13*AE33</f>
        <v>0</v>
      </c>
      <c r="AF124" s="299">
        <f t="shared" si="747"/>
        <v>0</v>
      </c>
      <c r="AG124" s="262">
        <f t="shared" si="616"/>
        <v>0</v>
      </c>
      <c r="AH124" s="298">
        <f t="shared" ref="AH124:AI124" si="748">AH13*AH33</f>
        <v>0</v>
      </c>
      <c r="AI124" s="299">
        <f t="shared" si="748"/>
        <v>0</v>
      </c>
      <c r="AJ124" s="262">
        <f t="shared" si="618"/>
        <v>0</v>
      </c>
      <c r="AK124" s="298">
        <f t="shared" ref="AK124:AL124" si="749">AK13*AK33</f>
        <v>0</v>
      </c>
      <c r="AL124" s="299">
        <f t="shared" si="749"/>
        <v>0</v>
      </c>
      <c r="AM124" s="262">
        <f t="shared" si="620"/>
        <v>0</v>
      </c>
      <c r="AN124" s="298">
        <f t="shared" ref="AN124:AO124" si="750">AN13*AN33</f>
        <v>0</v>
      </c>
      <c r="AO124" s="299">
        <f t="shared" si="750"/>
        <v>0</v>
      </c>
      <c r="AP124" s="262">
        <f t="shared" si="622"/>
        <v>0</v>
      </c>
      <c r="AQ124" s="298">
        <f t="shared" ref="AQ124:AR124" si="751">AQ13*AQ33</f>
        <v>0</v>
      </c>
      <c r="AR124" s="299">
        <f t="shared" si="751"/>
        <v>0</v>
      </c>
      <c r="AS124" s="262">
        <f t="shared" si="624"/>
        <v>0</v>
      </c>
      <c r="AT124" s="298">
        <f t="shared" ref="AT124:AU124" si="752">AT13*AT33</f>
        <v>0</v>
      </c>
      <c r="AU124" s="299">
        <f t="shared" si="752"/>
        <v>0</v>
      </c>
      <c r="AV124" s="262">
        <f t="shared" si="626"/>
        <v>0</v>
      </c>
      <c r="AW124" s="298">
        <f t="shared" ref="AW124:AX124" si="753">AW13*AW33</f>
        <v>0</v>
      </c>
      <c r="AX124" s="299">
        <f t="shared" si="753"/>
        <v>0</v>
      </c>
      <c r="AY124" s="262">
        <f t="shared" si="628"/>
        <v>0</v>
      </c>
      <c r="AZ124" s="298">
        <f t="shared" ref="AZ124:BA124" si="754">AZ13*AZ33</f>
        <v>0</v>
      </c>
      <c r="BA124" s="299">
        <f t="shared" si="754"/>
        <v>0</v>
      </c>
      <c r="BB124" s="262">
        <f t="shared" si="630"/>
        <v>0</v>
      </c>
      <c r="BC124" s="298">
        <f t="shared" ref="BC124:BD124" si="755">BC13*BC33</f>
        <v>0</v>
      </c>
      <c r="BD124" s="299">
        <f t="shared" si="755"/>
        <v>0</v>
      </c>
      <c r="BE124" s="262">
        <f t="shared" si="632"/>
        <v>0</v>
      </c>
      <c r="BF124" s="298">
        <f t="shared" ref="BF124:BG124" si="756">BF13*BF33</f>
        <v>0</v>
      </c>
      <c r="BG124" s="299">
        <f t="shared" si="756"/>
        <v>0</v>
      </c>
      <c r="BH124" s="262">
        <f t="shared" si="634"/>
        <v>0</v>
      </c>
      <c r="BI124" s="298">
        <f t="shared" si="597"/>
        <v>0</v>
      </c>
      <c r="BJ124" s="299">
        <f t="shared" si="597"/>
        <v>0</v>
      </c>
      <c r="BK124" s="262">
        <f t="shared" si="635"/>
        <v>0</v>
      </c>
      <c r="BL124" s="298">
        <f t="shared" si="598"/>
        <v>0</v>
      </c>
      <c r="BM124" s="299">
        <f t="shared" si="598"/>
        <v>0</v>
      </c>
      <c r="BN124" s="262">
        <f t="shared" si="636"/>
        <v>0</v>
      </c>
      <c r="BO124" s="298">
        <f t="shared" si="599"/>
        <v>0</v>
      </c>
      <c r="BP124" s="299">
        <f t="shared" si="599"/>
        <v>0</v>
      </c>
      <c r="BQ124" s="262">
        <f t="shared" si="637"/>
        <v>0</v>
      </c>
    </row>
    <row r="125" spans="1:70" ht="15.75" thickBot="1">
      <c r="A125" s="788"/>
      <c r="B125" s="790"/>
      <c r="C125" s="300" t="s">
        <v>34</v>
      </c>
      <c r="D125" s="301">
        <f t="shared" si="577"/>
        <v>0</v>
      </c>
      <c r="E125" s="302">
        <f t="shared" si="161"/>
        <v>0</v>
      </c>
      <c r="F125" s="303">
        <f t="shared" si="578"/>
        <v>0</v>
      </c>
      <c r="G125" s="304">
        <f t="shared" si="579"/>
        <v>0</v>
      </c>
      <c r="H125" s="305">
        <f t="shared" si="579"/>
        <v>0</v>
      </c>
      <c r="I125" s="267">
        <f t="shared" si="600"/>
        <v>0</v>
      </c>
      <c r="J125" s="304">
        <f t="shared" ref="J125:K125" si="757">J14*J34</f>
        <v>0</v>
      </c>
      <c r="K125" s="305">
        <f t="shared" si="757"/>
        <v>0</v>
      </c>
      <c r="L125" s="267">
        <f t="shared" si="602"/>
        <v>0</v>
      </c>
      <c r="M125" s="304">
        <f t="shared" ref="M125:N125" si="758">M14*M34</f>
        <v>0</v>
      </c>
      <c r="N125" s="305">
        <f t="shared" si="758"/>
        <v>0</v>
      </c>
      <c r="O125" s="267">
        <f t="shared" si="604"/>
        <v>0</v>
      </c>
      <c r="P125" s="304">
        <f t="shared" ref="P125:Q125" si="759">P14*P34</f>
        <v>0</v>
      </c>
      <c r="Q125" s="305">
        <f t="shared" si="759"/>
        <v>0</v>
      </c>
      <c r="R125" s="267">
        <f t="shared" si="606"/>
        <v>0</v>
      </c>
      <c r="S125" s="304">
        <f t="shared" ref="S125:T125" si="760">S14*S34</f>
        <v>0</v>
      </c>
      <c r="T125" s="305">
        <f t="shared" si="760"/>
        <v>0</v>
      </c>
      <c r="U125" s="267">
        <f t="shared" si="608"/>
        <v>0</v>
      </c>
      <c r="V125" s="304">
        <f t="shared" ref="V125:W125" si="761">V14*V34</f>
        <v>0</v>
      </c>
      <c r="W125" s="305">
        <f t="shared" si="761"/>
        <v>0</v>
      </c>
      <c r="X125" s="267">
        <f t="shared" si="610"/>
        <v>0</v>
      </c>
      <c r="Y125" s="304">
        <f t="shared" ref="Y125:Z125" si="762">Y14*Y34</f>
        <v>0</v>
      </c>
      <c r="Z125" s="305">
        <f t="shared" si="762"/>
        <v>0</v>
      </c>
      <c r="AA125" s="267">
        <f t="shared" si="612"/>
        <v>0</v>
      </c>
      <c r="AB125" s="304">
        <f t="shared" ref="AB125:AC125" si="763">AB14*AB34</f>
        <v>0</v>
      </c>
      <c r="AC125" s="305">
        <f t="shared" si="763"/>
        <v>0</v>
      </c>
      <c r="AD125" s="267">
        <f t="shared" si="614"/>
        <v>0</v>
      </c>
      <c r="AE125" s="304">
        <f t="shared" ref="AE125:AF125" si="764">AE14*AE34</f>
        <v>0</v>
      </c>
      <c r="AF125" s="305">
        <f t="shared" si="764"/>
        <v>0</v>
      </c>
      <c r="AG125" s="267">
        <f t="shared" si="616"/>
        <v>0</v>
      </c>
      <c r="AH125" s="304">
        <f t="shared" ref="AH125:AI125" si="765">AH14*AH34</f>
        <v>0</v>
      </c>
      <c r="AI125" s="305">
        <f t="shared" si="765"/>
        <v>0</v>
      </c>
      <c r="AJ125" s="267">
        <f t="shared" si="618"/>
        <v>0</v>
      </c>
      <c r="AK125" s="304">
        <f t="shared" ref="AK125:AL125" si="766">AK14*AK34</f>
        <v>0</v>
      </c>
      <c r="AL125" s="305">
        <f t="shared" si="766"/>
        <v>0</v>
      </c>
      <c r="AM125" s="267">
        <f t="shared" si="620"/>
        <v>0</v>
      </c>
      <c r="AN125" s="304">
        <f t="shared" ref="AN125:AO125" si="767">AN14*AN34</f>
        <v>0</v>
      </c>
      <c r="AO125" s="305">
        <f t="shared" si="767"/>
        <v>0</v>
      </c>
      <c r="AP125" s="267">
        <f t="shared" si="622"/>
        <v>0</v>
      </c>
      <c r="AQ125" s="304">
        <f t="shared" ref="AQ125:AR125" si="768">AQ14*AQ34</f>
        <v>0</v>
      </c>
      <c r="AR125" s="305">
        <f t="shared" si="768"/>
        <v>0</v>
      </c>
      <c r="AS125" s="267">
        <f t="shared" si="624"/>
        <v>0</v>
      </c>
      <c r="AT125" s="304">
        <f t="shared" ref="AT125:AU125" si="769">AT14*AT34</f>
        <v>0</v>
      </c>
      <c r="AU125" s="305">
        <f t="shared" si="769"/>
        <v>0</v>
      </c>
      <c r="AV125" s="267">
        <f t="shared" si="626"/>
        <v>0</v>
      </c>
      <c r="AW125" s="304">
        <f t="shared" ref="AW125:AX125" si="770">AW14*AW34</f>
        <v>0</v>
      </c>
      <c r="AX125" s="305">
        <f t="shared" si="770"/>
        <v>0</v>
      </c>
      <c r="AY125" s="267">
        <f t="shared" si="628"/>
        <v>0</v>
      </c>
      <c r="AZ125" s="304">
        <f t="shared" ref="AZ125:BA125" si="771">AZ14*AZ34</f>
        <v>0</v>
      </c>
      <c r="BA125" s="305">
        <f t="shared" si="771"/>
        <v>0</v>
      </c>
      <c r="BB125" s="267">
        <f t="shared" si="630"/>
        <v>0</v>
      </c>
      <c r="BC125" s="304">
        <f t="shared" ref="BC125:BD125" si="772">BC14*BC34</f>
        <v>0</v>
      </c>
      <c r="BD125" s="305">
        <f t="shared" si="772"/>
        <v>0</v>
      </c>
      <c r="BE125" s="267">
        <f t="shared" si="632"/>
        <v>0</v>
      </c>
      <c r="BF125" s="304">
        <f t="shared" ref="BF125:BG125" si="773">BF14*BF34</f>
        <v>0</v>
      </c>
      <c r="BG125" s="305">
        <f t="shared" si="773"/>
        <v>0</v>
      </c>
      <c r="BH125" s="267">
        <f t="shared" si="634"/>
        <v>0</v>
      </c>
      <c r="BI125" s="304">
        <f t="shared" si="597"/>
        <v>0</v>
      </c>
      <c r="BJ125" s="305">
        <f t="shared" si="597"/>
        <v>0</v>
      </c>
      <c r="BK125" s="267">
        <f t="shared" si="635"/>
        <v>0</v>
      </c>
      <c r="BL125" s="304">
        <f t="shared" si="598"/>
        <v>0</v>
      </c>
      <c r="BM125" s="305">
        <f t="shared" si="598"/>
        <v>0</v>
      </c>
      <c r="BN125" s="267">
        <f t="shared" si="636"/>
        <v>0</v>
      </c>
      <c r="BO125" s="304">
        <f t="shared" si="599"/>
        <v>0</v>
      </c>
      <c r="BP125" s="305">
        <f t="shared" si="599"/>
        <v>0</v>
      </c>
      <c r="BQ125" s="267">
        <f t="shared" si="637"/>
        <v>0</v>
      </c>
    </row>
    <row r="126" spans="1:70">
      <c r="A126" s="787" t="s">
        <v>39</v>
      </c>
      <c r="B126" s="789" t="s">
        <v>13</v>
      </c>
      <c r="C126" s="290" t="s">
        <v>25</v>
      </c>
      <c r="D126" s="291">
        <f t="shared" si="577"/>
        <v>0</v>
      </c>
      <c r="E126" s="292">
        <f t="shared" si="161"/>
        <v>1041330</v>
      </c>
      <c r="F126" s="293">
        <f t="shared" si="578"/>
        <v>1041330</v>
      </c>
      <c r="G126" s="306">
        <f>G55</f>
        <v>0</v>
      </c>
      <c r="H126" s="307">
        <f t="shared" ref="H126:H135" si="774">H55*(1+$BR$126)</f>
        <v>0</v>
      </c>
      <c r="I126" s="257">
        <f>H126-G126</f>
        <v>0</v>
      </c>
      <c r="J126" s="306">
        <f>J55</f>
        <v>0</v>
      </c>
      <c r="K126" s="307">
        <f>K55*(1+$BR$126)</f>
        <v>0</v>
      </c>
      <c r="L126" s="257">
        <f>K126-J126</f>
        <v>0</v>
      </c>
      <c r="M126" s="306">
        <f>M55</f>
        <v>0</v>
      </c>
      <c r="N126" s="307">
        <f>N55*(1+$BR$126)</f>
        <v>1041330</v>
      </c>
      <c r="O126" s="257">
        <f>N126-M126</f>
        <v>1041330</v>
      </c>
      <c r="P126" s="306">
        <f t="shared" ref="P126:P135" si="775">P55</f>
        <v>0</v>
      </c>
      <c r="Q126" s="307">
        <f t="shared" ref="Q126:Q135" si="776">Q55*(1+$BR$126)</f>
        <v>0</v>
      </c>
      <c r="R126" s="257">
        <f>Q126-P126</f>
        <v>0</v>
      </c>
      <c r="S126" s="306">
        <f t="shared" ref="S126:S135" si="777">S55</f>
        <v>0</v>
      </c>
      <c r="T126" s="307">
        <f t="shared" ref="T126:T135" si="778">T55*(1+$BR$126)</f>
        <v>0</v>
      </c>
      <c r="U126" s="257">
        <f>T126-S126</f>
        <v>0</v>
      </c>
      <c r="V126" s="306">
        <f t="shared" ref="V126:V135" si="779">V55</f>
        <v>0</v>
      </c>
      <c r="W126" s="307">
        <f t="shared" ref="W126:W135" si="780">W55*(1+$BR$126)</f>
        <v>0</v>
      </c>
      <c r="X126" s="257">
        <f>W126-V126</f>
        <v>0</v>
      </c>
      <c r="Y126" s="306">
        <f>Y55</f>
        <v>0</v>
      </c>
      <c r="Z126" s="307">
        <f>Z55*(1+$BR$126)</f>
        <v>0</v>
      </c>
      <c r="AA126" s="257">
        <f>Z126-Y126</f>
        <v>0</v>
      </c>
      <c r="AB126" s="306">
        <f>AB55</f>
        <v>0</v>
      </c>
      <c r="AC126" s="307">
        <f>AC55*(1+$BR$126)</f>
        <v>0</v>
      </c>
      <c r="AD126" s="257">
        <f>AC126-AB126</f>
        <v>0</v>
      </c>
      <c r="AE126" s="306">
        <f t="shared" ref="AE126:AE135" si="781">AE55</f>
        <v>0</v>
      </c>
      <c r="AF126" s="307">
        <f t="shared" ref="AF126:AF135" si="782">AF55*(1+$BR$126)</f>
        <v>0</v>
      </c>
      <c r="AG126" s="257">
        <f>AF126-AE126</f>
        <v>0</v>
      </c>
      <c r="AH126" s="306">
        <f t="shared" ref="AH126:AH135" si="783">AH55</f>
        <v>0</v>
      </c>
      <c r="AI126" s="307">
        <f t="shared" ref="AI126:AI135" si="784">AI55*(1+$BR$126)</f>
        <v>0</v>
      </c>
      <c r="AJ126" s="257">
        <f>AI126-AH126</f>
        <v>0</v>
      </c>
      <c r="AK126" s="306">
        <f t="shared" ref="AK126:AK135" si="785">AK55</f>
        <v>0</v>
      </c>
      <c r="AL126" s="307">
        <f t="shared" ref="AL126:AL135" si="786">AL55*(1+$BR$126)</f>
        <v>0</v>
      </c>
      <c r="AM126" s="257">
        <f>AL126-AK126</f>
        <v>0</v>
      </c>
      <c r="AN126" s="306">
        <f>AN55</f>
        <v>0</v>
      </c>
      <c r="AO126" s="307">
        <f>AO55*(1+$BR$126)</f>
        <v>0</v>
      </c>
      <c r="AP126" s="257">
        <f>AO126-AN126</f>
        <v>0</v>
      </c>
      <c r="AQ126" s="306">
        <f>AQ55</f>
        <v>0</v>
      </c>
      <c r="AR126" s="307">
        <f>AR55*(1+$BR$126)</f>
        <v>0</v>
      </c>
      <c r="AS126" s="257">
        <f>AR126-AQ126</f>
        <v>0</v>
      </c>
      <c r="AT126" s="306">
        <f t="shared" ref="AT126:AT135" si="787">AT55</f>
        <v>0</v>
      </c>
      <c r="AU126" s="307">
        <f t="shared" ref="AU126:AU135" si="788">AU55*(1+$BR$126)</f>
        <v>0</v>
      </c>
      <c r="AV126" s="257">
        <f>AU126-AT126</f>
        <v>0</v>
      </c>
      <c r="AW126" s="306">
        <f t="shared" ref="AW126:AW135" si="789">AW55</f>
        <v>0</v>
      </c>
      <c r="AX126" s="307">
        <f t="shared" ref="AX126:AX135" si="790">AX55*(1+$BR$126)</f>
        <v>0</v>
      </c>
      <c r="AY126" s="257">
        <f>AX126-AW126</f>
        <v>0</v>
      </c>
      <c r="AZ126" s="306">
        <f t="shared" ref="AZ126:AZ135" si="791">AZ55</f>
        <v>0</v>
      </c>
      <c r="BA126" s="307">
        <f t="shared" ref="BA126:BA135" si="792">BA55*(1+$BR$126)</f>
        <v>0</v>
      </c>
      <c r="BB126" s="257">
        <f>BA126-AZ126</f>
        <v>0</v>
      </c>
      <c r="BC126" s="306">
        <f>BC55</f>
        <v>0</v>
      </c>
      <c r="BD126" s="307">
        <f>BD55*(1+$BR$126)</f>
        <v>0</v>
      </c>
      <c r="BE126" s="257">
        <f>BD126-BC126</f>
        <v>0</v>
      </c>
      <c r="BF126" s="306">
        <f>BF55</f>
        <v>0</v>
      </c>
      <c r="BG126" s="307">
        <f>BG55*(1+$BR$126)</f>
        <v>0</v>
      </c>
      <c r="BH126" s="257">
        <f>BG126-BF126</f>
        <v>0</v>
      </c>
      <c r="BI126" s="306">
        <f t="shared" ref="BI126:BI135" si="793">BI55</f>
        <v>0</v>
      </c>
      <c r="BJ126" s="307">
        <f t="shared" ref="BJ126:BJ135" si="794">BJ55*(1+$BR$126)</f>
        <v>0</v>
      </c>
      <c r="BK126" s="257">
        <f>BJ126-BI126</f>
        <v>0</v>
      </c>
      <c r="BL126" s="306">
        <f t="shared" ref="BL126:BL135" si="795">BL55</f>
        <v>0</v>
      </c>
      <c r="BM126" s="307">
        <f t="shared" ref="BM126:BM135" si="796">BM55*(1+$BR$126)</f>
        <v>0</v>
      </c>
      <c r="BN126" s="257">
        <f>BM126-BL126</f>
        <v>0</v>
      </c>
      <c r="BO126" s="306">
        <f t="shared" ref="BO126:BO135" si="797">BO55</f>
        <v>0</v>
      </c>
      <c r="BP126" s="307">
        <f t="shared" ref="BP126:BP135" si="798">BP55*(1+$BR$126)</f>
        <v>0</v>
      </c>
      <c r="BQ126" s="257">
        <f>BP126-BO126</f>
        <v>0</v>
      </c>
      <c r="BR126" s="258">
        <f>'Analyza citlivosti - AgendovéIS'!H7</f>
        <v>0</v>
      </c>
    </row>
    <row r="127" spans="1:70">
      <c r="A127" s="787"/>
      <c r="B127" s="789"/>
      <c r="C127" s="290" t="s">
        <v>26</v>
      </c>
      <c r="D127" s="291">
        <f t="shared" si="577"/>
        <v>0</v>
      </c>
      <c r="E127" s="292">
        <f t="shared" si="161"/>
        <v>1735551</v>
      </c>
      <c r="F127" s="293">
        <f t="shared" si="578"/>
        <v>1735551</v>
      </c>
      <c r="G127" s="298">
        <f t="shared" ref="G127:G135" si="799">G56</f>
        <v>0</v>
      </c>
      <c r="H127" s="299">
        <f t="shared" si="774"/>
        <v>0</v>
      </c>
      <c r="I127" s="262">
        <f t="shared" ref="I127:I135" si="800">H127-G127</f>
        <v>0</v>
      </c>
      <c r="J127" s="298">
        <f t="shared" ref="J127:J135" si="801">J56</f>
        <v>0</v>
      </c>
      <c r="K127" s="299">
        <f t="shared" ref="K127:K135" si="802">K56*(1+$BR$126)</f>
        <v>0</v>
      </c>
      <c r="L127" s="262">
        <f t="shared" ref="L127:L135" si="803">K127-J127</f>
        <v>0</v>
      </c>
      <c r="M127" s="298">
        <f t="shared" ref="M127:M135" si="804">M56</f>
        <v>0</v>
      </c>
      <c r="N127" s="299">
        <f t="shared" ref="N127:N135" si="805">N56*(1+$BR$126)</f>
        <v>1735551</v>
      </c>
      <c r="O127" s="262">
        <f t="shared" ref="O127:O135" si="806">N127-M127</f>
        <v>1735551</v>
      </c>
      <c r="P127" s="298">
        <f t="shared" si="775"/>
        <v>0</v>
      </c>
      <c r="Q127" s="299">
        <f t="shared" si="776"/>
        <v>0</v>
      </c>
      <c r="R127" s="262">
        <f t="shared" ref="R127:R135" si="807">Q127-P127</f>
        <v>0</v>
      </c>
      <c r="S127" s="298">
        <f t="shared" si="777"/>
        <v>0</v>
      </c>
      <c r="T127" s="299">
        <f t="shared" si="778"/>
        <v>0</v>
      </c>
      <c r="U127" s="262">
        <f t="shared" ref="U127:U135" si="808">T127-S127</f>
        <v>0</v>
      </c>
      <c r="V127" s="298">
        <f t="shared" si="779"/>
        <v>0</v>
      </c>
      <c r="W127" s="299">
        <f t="shared" si="780"/>
        <v>0</v>
      </c>
      <c r="X127" s="262">
        <f t="shared" ref="X127:X135" si="809">W127-V127</f>
        <v>0</v>
      </c>
      <c r="Y127" s="298">
        <f t="shared" ref="Y127:Y135" si="810">Y56</f>
        <v>0</v>
      </c>
      <c r="Z127" s="299">
        <f t="shared" ref="Z127:Z135" si="811">Z56*(1+$BR$126)</f>
        <v>0</v>
      </c>
      <c r="AA127" s="262">
        <f t="shared" ref="AA127:AA135" si="812">Z127-Y127</f>
        <v>0</v>
      </c>
      <c r="AB127" s="298">
        <f t="shared" ref="AB127:AB135" si="813">AB56</f>
        <v>0</v>
      </c>
      <c r="AC127" s="299">
        <f t="shared" ref="AC127:AC135" si="814">AC56*(1+$BR$126)</f>
        <v>0</v>
      </c>
      <c r="AD127" s="262">
        <f t="shared" ref="AD127:AD135" si="815">AC127-AB127</f>
        <v>0</v>
      </c>
      <c r="AE127" s="298">
        <f t="shared" si="781"/>
        <v>0</v>
      </c>
      <c r="AF127" s="299">
        <f t="shared" si="782"/>
        <v>0</v>
      </c>
      <c r="AG127" s="262">
        <f t="shared" ref="AG127:AG135" si="816">AF127-AE127</f>
        <v>0</v>
      </c>
      <c r="AH127" s="298">
        <f t="shared" si="783"/>
        <v>0</v>
      </c>
      <c r="AI127" s="299">
        <f t="shared" si="784"/>
        <v>0</v>
      </c>
      <c r="AJ127" s="262">
        <f t="shared" ref="AJ127:AJ135" si="817">AI127-AH127</f>
        <v>0</v>
      </c>
      <c r="AK127" s="298">
        <f t="shared" si="785"/>
        <v>0</v>
      </c>
      <c r="AL127" s="299">
        <f t="shared" si="786"/>
        <v>0</v>
      </c>
      <c r="AM127" s="262">
        <f t="shared" ref="AM127:AM135" si="818">AL127-AK127</f>
        <v>0</v>
      </c>
      <c r="AN127" s="298">
        <f t="shared" ref="AN127:AN135" si="819">AN56</f>
        <v>0</v>
      </c>
      <c r="AO127" s="299">
        <f t="shared" ref="AO127:AO135" si="820">AO56*(1+$BR$126)</f>
        <v>0</v>
      </c>
      <c r="AP127" s="262">
        <f t="shared" ref="AP127:AP135" si="821">AO127-AN127</f>
        <v>0</v>
      </c>
      <c r="AQ127" s="298">
        <f t="shared" ref="AQ127:AQ135" si="822">AQ56</f>
        <v>0</v>
      </c>
      <c r="AR127" s="299">
        <f t="shared" ref="AR127:AR135" si="823">AR56*(1+$BR$126)</f>
        <v>0</v>
      </c>
      <c r="AS127" s="262">
        <f t="shared" ref="AS127:AS135" si="824">AR127-AQ127</f>
        <v>0</v>
      </c>
      <c r="AT127" s="298">
        <f t="shared" si="787"/>
        <v>0</v>
      </c>
      <c r="AU127" s="299">
        <f t="shared" si="788"/>
        <v>0</v>
      </c>
      <c r="AV127" s="262">
        <f t="shared" ref="AV127:AV135" si="825">AU127-AT127</f>
        <v>0</v>
      </c>
      <c r="AW127" s="298">
        <f t="shared" si="789"/>
        <v>0</v>
      </c>
      <c r="AX127" s="299">
        <f t="shared" si="790"/>
        <v>0</v>
      </c>
      <c r="AY127" s="262">
        <f t="shared" ref="AY127:AY135" si="826">AX127-AW127</f>
        <v>0</v>
      </c>
      <c r="AZ127" s="298">
        <f t="shared" si="791"/>
        <v>0</v>
      </c>
      <c r="BA127" s="299">
        <f t="shared" si="792"/>
        <v>0</v>
      </c>
      <c r="BB127" s="262">
        <f t="shared" ref="BB127:BB135" si="827">BA127-AZ127</f>
        <v>0</v>
      </c>
      <c r="BC127" s="298">
        <f t="shared" ref="BC127:BC135" si="828">BC56</f>
        <v>0</v>
      </c>
      <c r="BD127" s="299">
        <f t="shared" ref="BD127:BD135" si="829">BD56*(1+$BR$126)</f>
        <v>0</v>
      </c>
      <c r="BE127" s="262">
        <f t="shared" ref="BE127:BE135" si="830">BD127-BC127</f>
        <v>0</v>
      </c>
      <c r="BF127" s="298">
        <f t="shared" ref="BF127:BF135" si="831">BF56</f>
        <v>0</v>
      </c>
      <c r="BG127" s="299">
        <f t="shared" ref="BG127:BG135" si="832">BG56*(1+$BR$126)</f>
        <v>0</v>
      </c>
      <c r="BH127" s="262">
        <f t="shared" ref="BH127:BH135" si="833">BG127-BF127</f>
        <v>0</v>
      </c>
      <c r="BI127" s="298">
        <f t="shared" si="793"/>
        <v>0</v>
      </c>
      <c r="BJ127" s="299">
        <f t="shared" si="794"/>
        <v>0</v>
      </c>
      <c r="BK127" s="262">
        <f t="shared" ref="BK127:BK135" si="834">BJ127-BI127</f>
        <v>0</v>
      </c>
      <c r="BL127" s="298">
        <f t="shared" si="795"/>
        <v>0</v>
      </c>
      <c r="BM127" s="299">
        <f t="shared" si="796"/>
        <v>0</v>
      </c>
      <c r="BN127" s="262">
        <f t="shared" ref="BN127:BN135" si="835">BM127-BL127</f>
        <v>0</v>
      </c>
      <c r="BO127" s="298">
        <f t="shared" si="797"/>
        <v>0</v>
      </c>
      <c r="BP127" s="299">
        <f t="shared" si="798"/>
        <v>0</v>
      </c>
      <c r="BQ127" s="262">
        <f t="shared" ref="BQ127:BQ135" si="836">BP127-BO127</f>
        <v>0</v>
      </c>
    </row>
    <row r="128" spans="1:70">
      <c r="A128" s="787"/>
      <c r="B128" s="789"/>
      <c r="C128" s="290" t="s">
        <v>27</v>
      </c>
      <c r="D128" s="291">
        <f t="shared" si="577"/>
        <v>0</v>
      </c>
      <c r="E128" s="292">
        <f t="shared" si="161"/>
        <v>1735551</v>
      </c>
      <c r="F128" s="293">
        <f t="shared" si="578"/>
        <v>1735551</v>
      </c>
      <c r="G128" s="298">
        <f t="shared" si="799"/>
        <v>0</v>
      </c>
      <c r="H128" s="299">
        <f t="shared" si="774"/>
        <v>0</v>
      </c>
      <c r="I128" s="262">
        <f t="shared" si="800"/>
        <v>0</v>
      </c>
      <c r="J128" s="298">
        <f t="shared" si="801"/>
        <v>0</v>
      </c>
      <c r="K128" s="299">
        <f t="shared" si="802"/>
        <v>0</v>
      </c>
      <c r="L128" s="262">
        <f t="shared" si="803"/>
        <v>0</v>
      </c>
      <c r="M128" s="298">
        <f t="shared" si="804"/>
        <v>0</v>
      </c>
      <c r="N128" s="299">
        <f t="shared" si="805"/>
        <v>1735551</v>
      </c>
      <c r="O128" s="262">
        <f t="shared" si="806"/>
        <v>1735551</v>
      </c>
      <c r="P128" s="298">
        <f t="shared" si="775"/>
        <v>0</v>
      </c>
      <c r="Q128" s="299">
        <f t="shared" si="776"/>
        <v>0</v>
      </c>
      <c r="R128" s="262">
        <f t="shared" si="807"/>
        <v>0</v>
      </c>
      <c r="S128" s="298">
        <f t="shared" si="777"/>
        <v>0</v>
      </c>
      <c r="T128" s="299">
        <f t="shared" si="778"/>
        <v>0</v>
      </c>
      <c r="U128" s="262">
        <f t="shared" si="808"/>
        <v>0</v>
      </c>
      <c r="V128" s="298">
        <f t="shared" si="779"/>
        <v>0</v>
      </c>
      <c r="W128" s="299">
        <f t="shared" si="780"/>
        <v>0</v>
      </c>
      <c r="X128" s="262">
        <f t="shared" si="809"/>
        <v>0</v>
      </c>
      <c r="Y128" s="298">
        <f t="shared" si="810"/>
        <v>0</v>
      </c>
      <c r="Z128" s="299">
        <f t="shared" si="811"/>
        <v>0</v>
      </c>
      <c r="AA128" s="262">
        <f t="shared" si="812"/>
        <v>0</v>
      </c>
      <c r="AB128" s="298">
        <f t="shared" si="813"/>
        <v>0</v>
      </c>
      <c r="AC128" s="299">
        <f t="shared" si="814"/>
        <v>0</v>
      </c>
      <c r="AD128" s="262">
        <f t="shared" si="815"/>
        <v>0</v>
      </c>
      <c r="AE128" s="298">
        <f t="shared" si="781"/>
        <v>0</v>
      </c>
      <c r="AF128" s="299">
        <f t="shared" si="782"/>
        <v>0</v>
      </c>
      <c r="AG128" s="262">
        <f t="shared" si="816"/>
        <v>0</v>
      </c>
      <c r="AH128" s="298">
        <f t="shared" si="783"/>
        <v>0</v>
      </c>
      <c r="AI128" s="299">
        <f t="shared" si="784"/>
        <v>0</v>
      </c>
      <c r="AJ128" s="262">
        <f t="shared" si="817"/>
        <v>0</v>
      </c>
      <c r="AK128" s="298">
        <f t="shared" si="785"/>
        <v>0</v>
      </c>
      <c r="AL128" s="299">
        <f t="shared" si="786"/>
        <v>0</v>
      </c>
      <c r="AM128" s="262">
        <f t="shared" si="818"/>
        <v>0</v>
      </c>
      <c r="AN128" s="298">
        <f t="shared" si="819"/>
        <v>0</v>
      </c>
      <c r="AO128" s="299">
        <f t="shared" si="820"/>
        <v>0</v>
      </c>
      <c r="AP128" s="262">
        <f t="shared" si="821"/>
        <v>0</v>
      </c>
      <c r="AQ128" s="298">
        <f t="shared" si="822"/>
        <v>0</v>
      </c>
      <c r="AR128" s="299">
        <f t="shared" si="823"/>
        <v>0</v>
      </c>
      <c r="AS128" s="262">
        <f t="shared" si="824"/>
        <v>0</v>
      </c>
      <c r="AT128" s="298">
        <f t="shared" si="787"/>
        <v>0</v>
      </c>
      <c r="AU128" s="299">
        <f t="shared" si="788"/>
        <v>0</v>
      </c>
      <c r="AV128" s="262">
        <f t="shared" si="825"/>
        <v>0</v>
      </c>
      <c r="AW128" s="298">
        <f t="shared" si="789"/>
        <v>0</v>
      </c>
      <c r="AX128" s="299">
        <f t="shared" si="790"/>
        <v>0</v>
      </c>
      <c r="AY128" s="262">
        <f t="shared" si="826"/>
        <v>0</v>
      </c>
      <c r="AZ128" s="298">
        <f t="shared" si="791"/>
        <v>0</v>
      </c>
      <c r="BA128" s="299">
        <f t="shared" si="792"/>
        <v>0</v>
      </c>
      <c r="BB128" s="262">
        <f t="shared" si="827"/>
        <v>0</v>
      </c>
      <c r="BC128" s="298">
        <f t="shared" si="828"/>
        <v>0</v>
      </c>
      <c r="BD128" s="299">
        <f t="shared" si="829"/>
        <v>0</v>
      </c>
      <c r="BE128" s="262">
        <f t="shared" si="830"/>
        <v>0</v>
      </c>
      <c r="BF128" s="298">
        <f t="shared" si="831"/>
        <v>0</v>
      </c>
      <c r="BG128" s="299">
        <f t="shared" si="832"/>
        <v>0</v>
      </c>
      <c r="BH128" s="262">
        <f t="shared" si="833"/>
        <v>0</v>
      </c>
      <c r="BI128" s="298">
        <f t="shared" si="793"/>
        <v>0</v>
      </c>
      <c r="BJ128" s="299">
        <f t="shared" si="794"/>
        <v>0</v>
      </c>
      <c r="BK128" s="262">
        <f t="shared" si="834"/>
        <v>0</v>
      </c>
      <c r="BL128" s="298">
        <f t="shared" si="795"/>
        <v>0</v>
      </c>
      <c r="BM128" s="299">
        <f t="shared" si="796"/>
        <v>0</v>
      </c>
      <c r="BN128" s="262">
        <f t="shared" si="835"/>
        <v>0</v>
      </c>
      <c r="BO128" s="298">
        <f t="shared" si="797"/>
        <v>0</v>
      </c>
      <c r="BP128" s="299">
        <f t="shared" si="798"/>
        <v>0</v>
      </c>
      <c r="BQ128" s="262">
        <f t="shared" si="836"/>
        <v>0</v>
      </c>
    </row>
    <row r="129" spans="1:69">
      <c r="A129" s="787"/>
      <c r="B129" s="789"/>
      <c r="C129" s="290" t="s">
        <v>28</v>
      </c>
      <c r="D129" s="291">
        <f t="shared" si="577"/>
        <v>0</v>
      </c>
      <c r="E129" s="292">
        <f t="shared" si="161"/>
        <v>1735551</v>
      </c>
      <c r="F129" s="293">
        <f t="shared" si="578"/>
        <v>1735551</v>
      </c>
      <c r="G129" s="298">
        <f t="shared" si="799"/>
        <v>0</v>
      </c>
      <c r="H129" s="299">
        <f t="shared" si="774"/>
        <v>0</v>
      </c>
      <c r="I129" s="262">
        <f t="shared" si="800"/>
        <v>0</v>
      </c>
      <c r="J129" s="298">
        <f t="shared" si="801"/>
        <v>0</v>
      </c>
      <c r="K129" s="299">
        <f t="shared" si="802"/>
        <v>0</v>
      </c>
      <c r="L129" s="262">
        <f t="shared" si="803"/>
        <v>0</v>
      </c>
      <c r="M129" s="298">
        <f t="shared" si="804"/>
        <v>0</v>
      </c>
      <c r="N129" s="299">
        <f t="shared" si="805"/>
        <v>1735551</v>
      </c>
      <c r="O129" s="262">
        <f t="shared" si="806"/>
        <v>1735551</v>
      </c>
      <c r="P129" s="298">
        <f t="shared" si="775"/>
        <v>0</v>
      </c>
      <c r="Q129" s="299">
        <f t="shared" si="776"/>
        <v>0</v>
      </c>
      <c r="R129" s="262">
        <f t="shared" si="807"/>
        <v>0</v>
      </c>
      <c r="S129" s="298">
        <f t="shared" si="777"/>
        <v>0</v>
      </c>
      <c r="T129" s="299">
        <f t="shared" si="778"/>
        <v>0</v>
      </c>
      <c r="U129" s="262">
        <f t="shared" si="808"/>
        <v>0</v>
      </c>
      <c r="V129" s="298">
        <f t="shared" si="779"/>
        <v>0</v>
      </c>
      <c r="W129" s="299">
        <f t="shared" si="780"/>
        <v>0</v>
      </c>
      <c r="X129" s="262">
        <f t="shared" si="809"/>
        <v>0</v>
      </c>
      <c r="Y129" s="298">
        <f t="shared" si="810"/>
        <v>0</v>
      </c>
      <c r="Z129" s="299">
        <f t="shared" si="811"/>
        <v>0</v>
      </c>
      <c r="AA129" s="262">
        <f t="shared" si="812"/>
        <v>0</v>
      </c>
      <c r="AB129" s="298">
        <f t="shared" si="813"/>
        <v>0</v>
      </c>
      <c r="AC129" s="299">
        <f t="shared" si="814"/>
        <v>0</v>
      </c>
      <c r="AD129" s="262">
        <f t="shared" si="815"/>
        <v>0</v>
      </c>
      <c r="AE129" s="298">
        <f t="shared" si="781"/>
        <v>0</v>
      </c>
      <c r="AF129" s="299">
        <f t="shared" si="782"/>
        <v>0</v>
      </c>
      <c r="AG129" s="262">
        <f t="shared" si="816"/>
        <v>0</v>
      </c>
      <c r="AH129" s="298">
        <f t="shared" si="783"/>
        <v>0</v>
      </c>
      <c r="AI129" s="299">
        <f t="shared" si="784"/>
        <v>0</v>
      </c>
      <c r="AJ129" s="262">
        <f t="shared" si="817"/>
        <v>0</v>
      </c>
      <c r="AK129" s="298">
        <f t="shared" si="785"/>
        <v>0</v>
      </c>
      <c r="AL129" s="299">
        <f t="shared" si="786"/>
        <v>0</v>
      </c>
      <c r="AM129" s="262">
        <f t="shared" si="818"/>
        <v>0</v>
      </c>
      <c r="AN129" s="298">
        <f t="shared" si="819"/>
        <v>0</v>
      </c>
      <c r="AO129" s="299">
        <f t="shared" si="820"/>
        <v>0</v>
      </c>
      <c r="AP129" s="262">
        <f t="shared" si="821"/>
        <v>0</v>
      </c>
      <c r="AQ129" s="298">
        <f t="shared" si="822"/>
        <v>0</v>
      </c>
      <c r="AR129" s="299">
        <f t="shared" si="823"/>
        <v>0</v>
      </c>
      <c r="AS129" s="262">
        <f t="shared" si="824"/>
        <v>0</v>
      </c>
      <c r="AT129" s="298">
        <f t="shared" si="787"/>
        <v>0</v>
      </c>
      <c r="AU129" s="299">
        <f t="shared" si="788"/>
        <v>0</v>
      </c>
      <c r="AV129" s="262">
        <f t="shared" si="825"/>
        <v>0</v>
      </c>
      <c r="AW129" s="298">
        <f t="shared" si="789"/>
        <v>0</v>
      </c>
      <c r="AX129" s="299">
        <f t="shared" si="790"/>
        <v>0</v>
      </c>
      <c r="AY129" s="262">
        <f t="shared" si="826"/>
        <v>0</v>
      </c>
      <c r="AZ129" s="298">
        <f t="shared" si="791"/>
        <v>0</v>
      </c>
      <c r="BA129" s="299">
        <f t="shared" si="792"/>
        <v>0</v>
      </c>
      <c r="BB129" s="262">
        <f t="shared" si="827"/>
        <v>0</v>
      </c>
      <c r="BC129" s="298">
        <f t="shared" si="828"/>
        <v>0</v>
      </c>
      <c r="BD129" s="299">
        <f t="shared" si="829"/>
        <v>0</v>
      </c>
      <c r="BE129" s="262">
        <f t="shared" si="830"/>
        <v>0</v>
      </c>
      <c r="BF129" s="298">
        <f t="shared" si="831"/>
        <v>0</v>
      </c>
      <c r="BG129" s="299">
        <f t="shared" si="832"/>
        <v>0</v>
      </c>
      <c r="BH129" s="262">
        <f t="shared" si="833"/>
        <v>0</v>
      </c>
      <c r="BI129" s="298">
        <f t="shared" si="793"/>
        <v>0</v>
      </c>
      <c r="BJ129" s="299">
        <f t="shared" si="794"/>
        <v>0</v>
      </c>
      <c r="BK129" s="262">
        <f t="shared" si="834"/>
        <v>0</v>
      </c>
      <c r="BL129" s="298">
        <f t="shared" si="795"/>
        <v>0</v>
      </c>
      <c r="BM129" s="299">
        <f t="shared" si="796"/>
        <v>0</v>
      </c>
      <c r="BN129" s="262">
        <f t="shared" si="835"/>
        <v>0</v>
      </c>
      <c r="BO129" s="298">
        <f t="shared" si="797"/>
        <v>0</v>
      </c>
      <c r="BP129" s="299">
        <f t="shared" si="798"/>
        <v>0</v>
      </c>
      <c r="BQ129" s="262">
        <f t="shared" si="836"/>
        <v>0</v>
      </c>
    </row>
    <row r="130" spans="1:69">
      <c r="A130" s="787"/>
      <c r="B130" s="789"/>
      <c r="C130" s="290" t="s">
        <v>29</v>
      </c>
      <c r="D130" s="291">
        <f t="shared" si="577"/>
        <v>0</v>
      </c>
      <c r="E130" s="292">
        <f t="shared" si="161"/>
        <v>1735551</v>
      </c>
      <c r="F130" s="293">
        <f t="shared" si="578"/>
        <v>1735551</v>
      </c>
      <c r="G130" s="298">
        <f t="shared" si="799"/>
        <v>0</v>
      </c>
      <c r="H130" s="299">
        <f t="shared" si="774"/>
        <v>0</v>
      </c>
      <c r="I130" s="262">
        <f t="shared" si="800"/>
        <v>0</v>
      </c>
      <c r="J130" s="298">
        <f t="shared" si="801"/>
        <v>0</v>
      </c>
      <c r="K130" s="299">
        <f t="shared" si="802"/>
        <v>0</v>
      </c>
      <c r="L130" s="262">
        <f t="shared" si="803"/>
        <v>0</v>
      </c>
      <c r="M130" s="298">
        <f t="shared" si="804"/>
        <v>0</v>
      </c>
      <c r="N130" s="299">
        <f t="shared" si="805"/>
        <v>1735551</v>
      </c>
      <c r="O130" s="262">
        <f t="shared" si="806"/>
        <v>1735551</v>
      </c>
      <c r="P130" s="298">
        <f t="shared" si="775"/>
        <v>0</v>
      </c>
      <c r="Q130" s="299">
        <f t="shared" si="776"/>
        <v>0</v>
      </c>
      <c r="R130" s="262">
        <f t="shared" si="807"/>
        <v>0</v>
      </c>
      <c r="S130" s="298">
        <f t="shared" si="777"/>
        <v>0</v>
      </c>
      <c r="T130" s="299">
        <f t="shared" si="778"/>
        <v>0</v>
      </c>
      <c r="U130" s="262">
        <f t="shared" si="808"/>
        <v>0</v>
      </c>
      <c r="V130" s="298">
        <f t="shared" si="779"/>
        <v>0</v>
      </c>
      <c r="W130" s="299">
        <f t="shared" si="780"/>
        <v>0</v>
      </c>
      <c r="X130" s="262">
        <f t="shared" si="809"/>
        <v>0</v>
      </c>
      <c r="Y130" s="298">
        <f t="shared" si="810"/>
        <v>0</v>
      </c>
      <c r="Z130" s="299">
        <f t="shared" si="811"/>
        <v>0</v>
      </c>
      <c r="AA130" s="262">
        <f t="shared" si="812"/>
        <v>0</v>
      </c>
      <c r="AB130" s="298">
        <f t="shared" si="813"/>
        <v>0</v>
      </c>
      <c r="AC130" s="299">
        <f t="shared" si="814"/>
        <v>0</v>
      </c>
      <c r="AD130" s="262">
        <f t="shared" si="815"/>
        <v>0</v>
      </c>
      <c r="AE130" s="298">
        <f t="shared" si="781"/>
        <v>0</v>
      </c>
      <c r="AF130" s="299">
        <f t="shared" si="782"/>
        <v>0</v>
      </c>
      <c r="AG130" s="262">
        <f t="shared" si="816"/>
        <v>0</v>
      </c>
      <c r="AH130" s="298">
        <f t="shared" si="783"/>
        <v>0</v>
      </c>
      <c r="AI130" s="299">
        <f t="shared" si="784"/>
        <v>0</v>
      </c>
      <c r="AJ130" s="262">
        <f t="shared" si="817"/>
        <v>0</v>
      </c>
      <c r="AK130" s="298">
        <f t="shared" si="785"/>
        <v>0</v>
      </c>
      <c r="AL130" s="299">
        <f t="shared" si="786"/>
        <v>0</v>
      </c>
      <c r="AM130" s="262">
        <f t="shared" si="818"/>
        <v>0</v>
      </c>
      <c r="AN130" s="298">
        <f t="shared" si="819"/>
        <v>0</v>
      </c>
      <c r="AO130" s="299">
        <f t="shared" si="820"/>
        <v>0</v>
      </c>
      <c r="AP130" s="262">
        <f t="shared" si="821"/>
        <v>0</v>
      </c>
      <c r="AQ130" s="298">
        <f t="shared" si="822"/>
        <v>0</v>
      </c>
      <c r="AR130" s="299">
        <f t="shared" si="823"/>
        <v>0</v>
      </c>
      <c r="AS130" s="262">
        <f t="shared" si="824"/>
        <v>0</v>
      </c>
      <c r="AT130" s="298">
        <f t="shared" si="787"/>
        <v>0</v>
      </c>
      <c r="AU130" s="299">
        <f t="shared" si="788"/>
        <v>0</v>
      </c>
      <c r="AV130" s="262">
        <f t="shared" si="825"/>
        <v>0</v>
      </c>
      <c r="AW130" s="298">
        <f t="shared" si="789"/>
        <v>0</v>
      </c>
      <c r="AX130" s="299">
        <f t="shared" si="790"/>
        <v>0</v>
      </c>
      <c r="AY130" s="262">
        <f t="shared" si="826"/>
        <v>0</v>
      </c>
      <c r="AZ130" s="298">
        <f t="shared" si="791"/>
        <v>0</v>
      </c>
      <c r="BA130" s="299">
        <f t="shared" si="792"/>
        <v>0</v>
      </c>
      <c r="BB130" s="262">
        <f t="shared" si="827"/>
        <v>0</v>
      </c>
      <c r="BC130" s="298">
        <f t="shared" si="828"/>
        <v>0</v>
      </c>
      <c r="BD130" s="299">
        <f t="shared" si="829"/>
        <v>0</v>
      </c>
      <c r="BE130" s="262">
        <f t="shared" si="830"/>
        <v>0</v>
      </c>
      <c r="BF130" s="298">
        <f t="shared" si="831"/>
        <v>0</v>
      </c>
      <c r="BG130" s="299">
        <f t="shared" si="832"/>
        <v>0</v>
      </c>
      <c r="BH130" s="262">
        <f t="shared" si="833"/>
        <v>0</v>
      </c>
      <c r="BI130" s="298">
        <f t="shared" si="793"/>
        <v>0</v>
      </c>
      <c r="BJ130" s="299">
        <f t="shared" si="794"/>
        <v>0</v>
      </c>
      <c r="BK130" s="262">
        <f t="shared" si="834"/>
        <v>0</v>
      </c>
      <c r="BL130" s="298">
        <f t="shared" si="795"/>
        <v>0</v>
      </c>
      <c r="BM130" s="299">
        <f t="shared" si="796"/>
        <v>0</v>
      </c>
      <c r="BN130" s="262">
        <f t="shared" si="835"/>
        <v>0</v>
      </c>
      <c r="BO130" s="298">
        <f t="shared" si="797"/>
        <v>0</v>
      </c>
      <c r="BP130" s="299">
        <f t="shared" si="798"/>
        <v>0</v>
      </c>
      <c r="BQ130" s="262">
        <f t="shared" si="836"/>
        <v>0</v>
      </c>
    </row>
    <row r="131" spans="1:69">
      <c r="A131" s="787"/>
      <c r="B131" s="789"/>
      <c r="C131" s="290" t="s">
        <v>30</v>
      </c>
      <c r="D131" s="291">
        <f t="shared" si="577"/>
        <v>0</v>
      </c>
      <c r="E131" s="292">
        <f t="shared" si="161"/>
        <v>1735551</v>
      </c>
      <c r="F131" s="293">
        <f t="shared" si="578"/>
        <v>1735551</v>
      </c>
      <c r="G131" s="298">
        <f t="shared" si="799"/>
        <v>0</v>
      </c>
      <c r="H131" s="299">
        <f t="shared" si="774"/>
        <v>0</v>
      </c>
      <c r="I131" s="262">
        <f t="shared" si="800"/>
        <v>0</v>
      </c>
      <c r="J131" s="298">
        <f t="shared" si="801"/>
        <v>0</v>
      </c>
      <c r="K131" s="299">
        <f t="shared" si="802"/>
        <v>0</v>
      </c>
      <c r="L131" s="262">
        <f t="shared" si="803"/>
        <v>0</v>
      </c>
      <c r="M131" s="298">
        <f t="shared" si="804"/>
        <v>0</v>
      </c>
      <c r="N131" s="299">
        <f t="shared" si="805"/>
        <v>1735551</v>
      </c>
      <c r="O131" s="262">
        <f t="shared" si="806"/>
        <v>1735551</v>
      </c>
      <c r="P131" s="298">
        <f t="shared" si="775"/>
        <v>0</v>
      </c>
      <c r="Q131" s="299">
        <f t="shared" si="776"/>
        <v>0</v>
      </c>
      <c r="R131" s="262">
        <f t="shared" si="807"/>
        <v>0</v>
      </c>
      <c r="S131" s="298">
        <f t="shared" si="777"/>
        <v>0</v>
      </c>
      <c r="T131" s="299">
        <f t="shared" si="778"/>
        <v>0</v>
      </c>
      <c r="U131" s="262">
        <f t="shared" si="808"/>
        <v>0</v>
      </c>
      <c r="V131" s="298">
        <f t="shared" si="779"/>
        <v>0</v>
      </c>
      <c r="W131" s="299">
        <f t="shared" si="780"/>
        <v>0</v>
      </c>
      <c r="X131" s="262">
        <f t="shared" si="809"/>
        <v>0</v>
      </c>
      <c r="Y131" s="298">
        <f t="shared" si="810"/>
        <v>0</v>
      </c>
      <c r="Z131" s="299">
        <f t="shared" si="811"/>
        <v>0</v>
      </c>
      <c r="AA131" s="262">
        <f t="shared" si="812"/>
        <v>0</v>
      </c>
      <c r="AB131" s="298">
        <f t="shared" si="813"/>
        <v>0</v>
      </c>
      <c r="AC131" s="299">
        <f t="shared" si="814"/>
        <v>0</v>
      </c>
      <c r="AD131" s="262">
        <f t="shared" si="815"/>
        <v>0</v>
      </c>
      <c r="AE131" s="298">
        <f t="shared" si="781"/>
        <v>0</v>
      </c>
      <c r="AF131" s="299">
        <f t="shared" si="782"/>
        <v>0</v>
      </c>
      <c r="AG131" s="262">
        <f t="shared" si="816"/>
        <v>0</v>
      </c>
      <c r="AH131" s="298">
        <f t="shared" si="783"/>
        <v>0</v>
      </c>
      <c r="AI131" s="299">
        <f t="shared" si="784"/>
        <v>0</v>
      </c>
      <c r="AJ131" s="262">
        <f t="shared" si="817"/>
        <v>0</v>
      </c>
      <c r="AK131" s="298">
        <f t="shared" si="785"/>
        <v>0</v>
      </c>
      <c r="AL131" s="299">
        <f t="shared" si="786"/>
        <v>0</v>
      </c>
      <c r="AM131" s="262">
        <f t="shared" si="818"/>
        <v>0</v>
      </c>
      <c r="AN131" s="298">
        <f t="shared" si="819"/>
        <v>0</v>
      </c>
      <c r="AO131" s="299">
        <f t="shared" si="820"/>
        <v>0</v>
      </c>
      <c r="AP131" s="262">
        <f t="shared" si="821"/>
        <v>0</v>
      </c>
      <c r="AQ131" s="298">
        <f t="shared" si="822"/>
        <v>0</v>
      </c>
      <c r="AR131" s="299">
        <f t="shared" si="823"/>
        <v>0</v>
      </c>
      <c r="AS131" s="262">
        <f t="shared" si="824"/>
        <v>0</v>
      </c>
      <c r="AT131" s="298">
        <f t="shared" si="787"/>
        <v>0</v>
      </c>
      <c r="AU131" s="299">
        <f t="shared" si="788"/>
        <v>0</v>
      </c>
      <c r="AV131" s="262">
        <f t="shared" si="825"/>
        <v>0</v>
      </c>
      <c r="AW131" s="298">
        <f t="shared" si="789"/>
        <v>0</v>
      </c>
      <c r="AX131" s="299">
        <f t="shared" si="790"/>
        <v>0</v>
      </c>
      <c r="AY131" s="262">
        <f t="shared" si="826"/>
        <v>0</v>
      </c>
      <c r="AZ131" s="298">
        <f t="shared" si="791"/>
        <v>0</v>
      </c>
      <c r="BA131" s="299">
        <f t="shared" si="792"/>
        <v>0</v>
      </c>
      <c r="BB131" s="262">
        <f t="shared" si="827"/>
        <v>0</v>
      </c>
      <c r="BC131" s="298">
        <f t="shared" si="828"/>
        <v>0</v>
      </c>
      <c r="BD131" s="299">
        <f t="shared" si="829"/>
        <v>0</v>
      </c>
      <c r="BE131" s="262">
        <f t="shared" si="830"/>
        <v>0</v>
      </c>
      <c r="BF131" s="298">
        <f t="shared" si="831"/>
        <v>0</v>
      </c>
      <c r="BG131" s="299">
        <f t="shared" si="832"/>
        <v>0</v>
      </c>
      <c r="BH131" s="262">
        <f t="shared" si="833"/>
        <v>0</v>
      </c>
      <c r="BI131" s="298">
        <f t="shared" si="793"/>
        <v>0</v>
      </c>
      <c r="BJ131" s="299">
        <f t="shared" si="794"/>
        <v>0</v>
      </c>
      <c r="BK131" s="262">
        <f t="shared" si="834"/>
        <v>0</v>
      </c>
      <c r="BL131" s="298">
        <f t="shared" si="795"/>
        <v>0</v>
      </c>
      <c r="BM131" s="299">
        <f t="shared" si="796"/>
        <v>0</v>
      </c>
      <c r="BN131" s="262">
        <f t="shared" si="835"/>
        <v>0</v>
      </c>
      <c r="BO131" s="298">
        <f t="shared" si="797"/>
        <v>0</v>
      </c>
      <c r="BP131" s="299">
        <f t="shared" si="798"/>
        <v>0</v>
      </c>
      <c r="BQ131" s="262">
        <f t="shared" si="836"/>
        <v>0</v>
      </c>
    </row>
    <row r="132" spans="1:69">
      <c r="A132" s="787"/>
      <c r="B132" s="789"/>
      <c r="C132" s="290" t="s">
        <v>31</v>
      </c>
      <c r="D132" s="291">
        <f t="shared" ref="D132:D135" si="837">SUM(G132,J132,M132,P132,S132,V132,Y132,AB132,AE132,AH132,AK132,AN132,AQ132,AT132,AW132,AZ132,AZ132,BC132,BF132,BI132,BL132,BO132)</f>
        <v>0</v>
      </c>
      <c r="E132" s="292">
        <f t="shared" si="161"/>
        <v>1735551</v>
      </c>
      <c r="F132" s="293">
        <f t="shared" si="578"/>
        <v>1735551</v>
      </c>
      <c r="G132" s="298">
        <f t="shared" si="799"/>
        <v>0</v>
      </c>
      <c r="H132" s="299">
        <f t="shared" si="774"/>
        <v>0</v>
      </c>
      <c r="I132" s="262">
        <f t="shared" si="800"/>
        <v>0</v>
      </c>
      <c r="J132" s="298">
        <f t="shared" si="801"/>
        <v>0</v>
      </c>
      <c r="K132" s="299">
        <f t="shared" si="802"/>
        <v>0</v>
      </c>
      <c r="L132" s="262">
        <f t="shared" si="803"/>
        <v>0</v>
      </c>
      <c r="M132" s="298">
        <f t="shared" si="804"/>
        <v>0</v>
      </c>
      <c r="N132" s="299">
        <f t="shared" si="805"/>
        <v>1735551</v>
      </c>
      <c r="O132" s="262">
        <f t="shared" si="806"/>
        <v>1735551</v>
      </c>
      <c r="P132" s="298">
        <f t="shared" si="775"/>
        <v>0</v>
      </c>
      <c r="Q132" s="299">
        <f t="shared" si="776"/>
        <v>0</v>
      </c>
      <c r="R132" s="262">
        <f t="shared" si="807"/>
        <v>0</v>
      </c>
      <c r="S132" s="298">
        <f t="shared" si="777"/>
        <v>0</v>
      </c>
      <c r="T132" s="299">
        <f t="shared" si="778"/>
        <v>0</v>
      </c>
      <c r="U132" s="262">
        <f t="shared" si="808"/>
        <v>0</v>
      </c>
      <c r="V132" s="298">
        <f t="shared" si="779"/>
        <v>0</v>
      </c>
      <c r="W132" s="299">
        <f t="shared" si="780"/>
        <v>0</v>
      </c>
      <c r="X132" s="262">
        <f t="shared" si="809"/>
        <v>0</v>
      </c>
      <c r="Y132" s="298">
        <f t="shared" si="810"/>
        <v>0</v>
      </c>
      <c r="Z132" s="299">
        <f t="shared" si="811"/>
        <v>0</v>
      </c>
      <c r="AA132" s="262">
        <f t="shared" si="812"/>
        <v>0</v>
      </c>
      <c r="AB132" s="298">
        <f t="shared" si="813"/>
        <v>0</v>
      </c>
      <c r="AC132" s="299">
        <f t="shared" si="814"/>
        <v>0</v>
      </c>
      <c r="AD132" s="262">
        <f t="shared" si="815"/>
        <v>0</v>
      </c>
      <c r="AE132" s="298">
        <f t="shared" si="781"/>
        <v>0</v>
      </c>
      <c r="AF132" s="299">
        <f t="shared" si="782"/>
        <v>0</v>
      </c>
      <c r="AG132" s="262">
        <f t="shared" si="816"/>
        <v>0</v>
      </c>
      <c r="AH132" s="298">
        <f t="shared" si="783"/>
        <v>0</v>
      </c>
      <c r="AI132" s="299">
        <f t="shared" si="784"/>
        <v>0</v>
      </c>
      <c r="AJ132" s="262">
        <f t="shared" si="817"/>
        <v>0</v>
      </c>
      <c r="AK132" s="298">
        <f t="shared" si="785"/>
        <v>0</v>
      </c>
      <c r="AL132" s="299">
        <f t="shared" si="786"/>
        <v>0</v>
      </c>
      <c r="AM132" s="262">
        <f t="shared" si="818"/>
        <v>0</v>
      </c>
      <c r="AN132" s="298">
        <f t="shared" si="819"/>
        <v>0</v>
      </c>
      <c r="AO132" s="299">
        <f t="shared" si="820"/>
        <v>0</v>
      </c>
      <c r="AP132" s="262">
        <f t="shared" si="821"/>
        <v>0</v>
      </c>
      <c r="AQ132" s="298">
        <f t="shared" si="822"/>
        <v>0</v>
      </c>
      <c r="AR132" s="299">
        <f t="shared" si="823"/>
        <v>0</v>
      </c>
      <c r="AS132" s="262">
        <f t="shared" si="824"/>
        <v>0</v>
      </c>
      <c r="AT132" s="298">
        <f t="shared" si="787"/>
        <v>0</v>
      </c>
      <c r="AU132" s="299">
        <f t="shared" si="788"/>
        <v>0</v>
      </c>
      <c r="AV132" s="262">
        <f t="shared" si="825"/>
        <v>0</v>
      </c>
      <c r="AW132" s="298">
        <f t="shared" si="789"/>
        <v>0</v>
      </c>
      <c r="AX132" s="299">
        <f t="shared" si="790"/>
        <v>0</v>
      </c>
      <c r="AY132" s="262">
        <f t="shared" si="826"/>
        <v>0</v>
      </c>
      <c r="AZ132" s="298">
        <f t="shared" si="791"/>
        <v>0</v>
      </c>
      <c r="BA132" s="299">
        <f t="shared" si="792"/>
        <v>0</v>
      </c>
      <c r="BB132" s="262">
        <f t="shared" si="827"/>
        <v>0</v>
      </c>
      <c r="BC132" s="298">
        <f t="shared" si="828"/>
        <v>0</v>
      </c>
      <c r="BD132" s="299">
        <f t="shared" si="829"/>
        <v>0</v>
      </c>
      <c r="BE132" s="262">
        <f t="shared" si="830"/>
        <v>0</v>
      </c>
      <c r="BF132" s="298">
        <f t="shared" si="831"/>
        <v>0</v>
      </c>
      <c r="BG132" s="299">
        <f t="shared" si="832"/>
        <v>0</v>
      </c>
      <c r="BH132" s="262">
        <f t="shared" si="833"/>
        <v>0</v>
      </c>
      <c r="BI132" s="298">
        <f t="shared" si="793"/>
        <v>0</v>
      </c>
      <c r="BJ132" s="299">
        <f t="shared" si="794"/>
        <v>0</v>
      </c>
      <c r="BK132" s="262">
        <f t="shared" si="834"/>
        <v>0</v>
      </c>
      <c r="BL132" s="298">
        <f t="shared" si="795"/>
        <v>0</v>
      </c>
      <c r="BM132" s="299">
        <f t="shared" si="796"/>
        <v>0</v>
      </c>
      <c r="BN132" s="262">
        <f t="shared" si="835"/>
        <v>0</v>
      </c>
      <c r="BO132" s="298">
        <f t="shared" si="797"/>
        <v>0</v>
      </c>
      <c r="BP132" s="299">
        <f t="shared" si="798"/>
        <v>0</v>
      </c>
      <c r="BQ132" s="262">
        <f t="shared" si="836"/>
        <v>0</v>
      </c>
    </row>
    <row r="133" spans="1:69">
      <c r="A133" s="787"/>
      <c r="B133" s="789"/>
      <c r="C133" s="290" t="s">
        <v>32</v>
      </c>
      <c r="D133" s="291">
        <f t="shared" si="837"/>
        <v>0</v>
      </c>
      <c r="E133" s="292">
        <f t="shared" si="161"/>
        <v>1735551</v>
      </c>
      <c r="F133" s="293">
        <f t="shared" si="578"/>
        <v>1735551</v>
      </c>
      <c r="G133" s="298">
        <f t="shared" si="799"/>
        <v>0</v>
      </c>
      <c r="H133" s="299">
        <f t="shared" si="774"/>
        <v>0</v>
      </c>
      <c r="I133" s="262">
        <f t="shared" si="800"/>
        <v>0</v>
      </c>
      <c r="J133" s="298">
        <f t="shared" si="801"/>
        <v>0</v>
      </c>
      <c r="K133" s="299">
        <f t="shared" si="802"/>
        <v>0</v>
      </c>
      <c r="L133" s="262">
        <f t="shared" si="803"/>
        <v>0</v>
      </c>
      <c r="M133" s="298">
        <f t="shared" si="804"/>
        <v>0</v>
      </c>
      <c r="N133" s="299">
        <f t="shared" si="805"/>
        <v>1735551</v>
      </c>
      <c r="O133" s="262">
        <f t="shared" si="806"/>
        <v>1735551</v>
      </c>
      <c r="P133" s="298">
        <f t="shared" si="775"/>
        <v>0</v>
      </c>
      <c r="Q133" s="299">
        <f t="shared" si="776"/>
        <v>0</v>
      </c>
      <c r="R133" s="262">
        <f t="shared" si="807"/>
        <v>0</v>
      </c>
      <c r="S133" s="298">
        <f t="shared" si="777"/>
        <v>0</v>
      </c>
      <c r="T133" s="299">
        <f t="shared" si="778"/>
        <v>0</v>
      </c>
      <c r="U133" s="262">
        <f t="shared" si="808"/>
        <v>0</v>
      </c>
      <c r="V133" s="298">
        <f t="shared" si="779"/>
        <v>0</v>
      </c>
      <c r="W133" s="299">
        <f t="shared" si="780"/>
        <v>0</v>
      </c>
      <c r="X133" s="262">
        <f t="shared" si="809"/>
        <v>0</v>
      </c>
      <c r="Y133" s="298">
        <f t="shared" si="810"/>
        <v>0</v>
      </c>
      <c r="Z133" s="299">
        <f t="shared" si="811"/>
        <v>0</v>
      </c>
      <c r="AA133" s="262">
        <f t="shared" si="812"/>
        <v>0</v>
      </c>
      <c r="AB133" s="298">
        <f t="shared" si="813"/>
        <v>0</v>
      </c>
      <c r="AC133" s="299">
        <f t="shared" si="814"/>
        <v>0</v>
      </c>
      <c r="AD133" s="262">
        <f t="shared" si="815"/>
        <v>0</v>
      </c>
      <c r="AE133" s="298">
        <f t="shared" si="781"/>
        <v>0</v>
      </c>
      <c r="AF133" s="299">
        <f t="shared" si="782"/>
        <v>0</v>
      </c>
      <c r="AG133" s="262">
        <f t="shared" si="816"/>
        <v>0</v>
      </c>
      <c r="AH133" s="298">
        <f t="shared" si="783"/>
        <v>0</v>
      </c>
      <c r="AI133" s="299">
        <f t="shared" si="784"/>
        <v>0</v>
      </c>
      <c r="AJ133" s="262">
        <f t="shared" si="817"/>
        <v>0</v>
      </c>
      <c r="AK133" s="298">
        <f t="shared" si="785"/>
        <v>0</v>
      </c>
      <c r="AL133" s="299">
        <f t="shared" si="786"/>
        <v>0</v>
      </c>
      <c r="AM133" s="262">
        <f t="shared" si="818"/>
        <v>0</v>
      </c>
      <c r="AN133" s="298">
        <f t="shared" si="819"/>
        <v>0</v>
      </c>
      <c r="AO133" s="299">
        <f t="shared" si="820"/>
        <v>0</v>
      </c>
      <c r="AP133" s="262">
        <f t="shared" si="821"/>
        <v>0</v>
      </c>
      <c r="AQ133" s="298">
        <f t="shared" si="822"/>
        <v>0</v>
      </c>
      <c r="AR133" s="299">
        <f t="shared" si="823"/>
        <v>0</v>
      </c>
      <c r="AS133" s="262">
        <f t="shared" si="824"/>
        <v>0</v>
      </c>
      <c r="AT133" s="298">
        <f t="shared" si="787"/>
        <v>0</v>
      </c>
      <c r="AU133" s="299">
        <f t="shared" si="788"/>
        <v>0</v>
      </c>
      <c r="AV133" s="262">
        <f t="shared" si="825"/>
        <v>0</v>
      </c>
      <c r="AW133" s="298">
        <f t="shared" si="789"/>
        <v>0</v>
      </c>
      <c r="AX133" s="299">
        <f t="shared" si="790"/>
        <v>0</v>
      </c>
      <c r="AY133" s="262">
        <f t="shared" si="826"/>
        <v>0</v>
      </c>
      <c r="AZ133" s="298">
        <f t="shared" si="791"/>
        <v>0</v>
      </c>
      <c r="BA133" s="299">
        <f t="shared" si="792"/>
        <v>0</v>
      </c>
      <c r="BB133" s="262">
        <f t="shared" si="827"/>
        <v>0</v>
      </c>
      <c r="BC133" s="298">
        <f t="shared" si="828"/>
        <v>0</v>
      </c>
      <c r="BD133" s="299">
        <f t="shared" si="829"/>
        <v>0</v>
      </c>
      <c r="BE133" s="262">
        <f t="shared" si="830"/>
        <v>0</v>
      </c>
      <c r="BF133" s="298">
        <f t="shared" si="831"/>
        <v>0</v>
      </c>
      <c r="BG133" s="299">
        <f t="shared" si="832"/>
        <v>0</v>
      </c>
      <c r="BH133" s="262">
        <f t="shared" si="833"/>
        <v>0</v>
      </c>
      <c r="BI133" s="298">
        <f t="shared" si="793"/>
        <v>0</v>
      </c>
      <c r="BJ133" s="299">
        <f t="shared" si="794"/>
        <v>0</v>
      </c>
      <c r="BK133" s="262">
        <f t="shared" si="834"/>
        <v>0</v>
      </c>
      <c r="BL133" s="298">
        <f t="shared" si="795"/>
        <v>0</v>
      </c>
      <c r="BM133" s="299">
        <f t="shared" si="796"/>
        <v>0</v>
      </c>
      <c r="BN133" s="262">
        <f t="shared" si="835"/>
        <v>0</v>
      </c>
      <c r="BO133" s="298">
        <f t="shared" si="797"/>
        <v>0</v>
      </c>
      <c r="BP133" s="299">
        <f t="shared" si="798"/>
        <v>0</v>
      </c>
      <c r="BQ133" s="262">
        <f t="shared" si="836"/>
        <v>0</v>
      </c>
    </row>
    <row r="134" spans="1:69">
      <c r="A134" s="787"/>
      <c r="B134" s="789"/>
      <c r="C134" s="290" t="s">
        <v>33</v>
      </c>
      <c r="D134" s="291">
        <f t="shared" si="837"/>
        <v>0</v>
      </c>
      <c r="E134" s="292">
        <f t="shared" si="161"/>
        <v>1735551</v>
      </c>
      <c r="F134" s="293">
        <f t="shared" si="578"/>
        <v>1735551</v>
      </c>
      <c r="G134" s="298">
        <f t="shared" si="799"/>
        <v>0</v>
      </c>
      <c r="H134" s="299">
        <f t="shared" si="774"/>
        <v>0</v>
      </c>
      <c r="I134" s="262">
        <f t="shared" si="800"/>
        <v>0</v>
      </c>
      <c r="J134" s="298">
        <f t="shared" si="801"/>
        <v>0</v>
      </c>
      <c r="K134" s="299">
        <f t="shared" si="802"/>
        <v>0</v>
      </c>
      <c r="L134" s="262">
        <f t="shared" si="803"/>
        <v>0</v>
      </c>
      <c r="M134" s="298">
        <f t="shared" si="804"/>
        <v>0</v>
      </c>
      <c r="N134" s="299">
        <f t="shared" si="805"/>
        <v>1735551</v>
      </c>
      <c r="O134" s="262">
        <f t="shared" si="806"/>
        <v>1735551</v>
      </c>
      <c r="P134" s="298">
        <f t="shared" si="775"/>
        <v>0</v>
      </c>
      <c r="Q134" s="299">
        <f t="shared" si="776"/>
        <v>0</v>
      </c>
      <c r="R134" s="262">
        <f t="shared" si="807"/>
        <v>0</v>
      </c>
      <c r="S134" s="298">
        <f t="shared" si="777"/>
        <v>0</v>
      </c>
      <c r="T134" s="299">
        <f t="shared" si="778"/>
        <v>0</v>
      </c>
      <c r="U134" s="262">
        <f t="shared" si="808"/>
        <v>0</v>
      </c>
      <c r="V134" s="298">
        <f t="shared" si="779"/>
        <v>0</v>
      </c>
      <c r="W134" s="299">
        <f t="shared" si="780"/>
        <v>0</v>
      </c>
      <c r="X134" s="262">
        <f t="shared" si="809"/>
        <v>0</v>
      </c>
      <c r="Y134" s="298">
        <f t="shared" si="810"/>
        <v>0</v>
      </c>
      <c r="Z134" s="299">
        <f t="shared" si="811"/>
        <v>0</v>
      </c>
      <c r="AA134" s="262">
        <f t="shared" si="812"/>
        <v>0</v>
      </c>
      <c r="AB134" s="298">
        <f t="shared" si="813"/>
        <v>0</v>
      </c>
      <c r="AC134" s="299">
        <f t="shared" si="814"/>
        <v>0</v>
      </c>
      <c r="AD134" s="262">
        <f t="shared" si="815"/>
        <v>0</v>
      </c>
      <c r="AE134" s="298">
        <f t="shared" si="781"/>
        <v>0</v>
      </c>
      <c r="AF134" s="299">
        <f t="shared" si="782"/>
        <v>0</v>
      </c>
      <c r="AG134" s="262">
        <f t="shared" si="816"/>
        <v>0</v>
      </c>
      <c r="AH134" s="298">
        <f t="shared" si="783"/>
        <v>0</v>
      </c>
      <c r="AI134" s="299">
        <f t="shared" si="784"/>
        <v>0</v>
      </c>
      <c r="AJ134" s="262">
        <f t="shared" si="817"/>
        <v>0</v>
      </c>
      <c r="AK134" s="298">
        <f t="shared" si="785"/>
        <v>0</v>
      </c>
      <c r="AL134" s="299">
        <f t="shared" si="786"/>
        <v>0</v>
      </c>
      <c r="AM134" s="262">
        <f t="shared" si="818"/>
        <v>0</v>
      </c>
      <c r="AN134" s="298">
        <f t="shared" si="819"/>
        <v>0</v>
      </c>
      <c r="AO134" s="299">
        <f t="shared" si="820"/>
        <v>0</v>
      </c>
      <c r="AP134" s="262">
        <f t="shared" si="821"/>
        <v>0</v>
      </c>
      <c r="AQ134" s="298">
        <f t="shared" si="822"/>
        <v>0</v>
      </c>
      <c r="AR134" s="299">
        <f t="shared" si="823"/>
        <v>0</v>
      </c>
      <c r="AS134" s="262">
        <f t="shared" si="824"/>
        <v>0</v>
      </c>
      <c r="AT134" s="298">
        <f t="shared" si="787"/>
        <v>0</v>
      </c>
      <c r="AU134" s="299">
        <f t="shared" si="788"/>
        <v>0</v>
      </c>
      <c r="AV134" s="262">
        <f t="shared" si="825"/>
        <v>0</v>
      </c>
      <c r="AW134" s="298">
        <f t="shared" si="789"/>
        <v>0</v>
      </c>
      <c r="AX134" s="299">
        <f t="shared" si="790"/>
        <v>0</v>
      </c>
      <c r="AY134" s="262">
        <f t="shared" si="826"/>
        <v>0</v>
      </c>
      <c r="AZ134" s="298">
        <f t="shared" si="791"/>
        <v>0</v>
      </c>
      <c r="BA134" s="299">
        <f t="shared" si="792"/>
        <v>0</v>
      </c>
      <c r="BB134" s="262">
        <f t="shared" si="827"/>
        <v>0</v>
      </c>
      <c r="BC134" s="298">
        <f t="shared" si="828"/>
        <v>0</v>
      </c>
      <c r="BD134" s="299">
        <f t="shared" si="829"/>
        <v>0</v>
      </c>
      <c r="BE134" s="262">
        <f t="shared" si="830"/>
        <v>0</v>
      </c>
      <c r="BF134" s="298">
        <f t="shared" si="831"/>
        <v>0</v>
      </c>
      <c r="BG134" s="299">
        <f t="shared" si="832"/>
        <v>0</v>
      </c>
      <c r="BH134" s="262">
        <f t="shared" si="833"/>
        <v>0</v>
      </c>
      <c r="BI134" s="298">
        <f t="shared" si="793"/>
        <v>0</v>
      </c>
      <c r="BJ134" s="299">
        <f t="shared" si="794"/>
        <v>0</v>
      </c>
      <c r="BK134" s="262">
        <f t="shared" si="834"/>
        <v>0</v>
      </c>
      <c r="BL134" s="298">
        <f t="shared" si="795"/>
        <v>0</v>
      </c>
      <c r="BM134" s="299">
        <f t="shared" si="796"/>
        <v>0</v>
      </c>
      <c r="BN134" s="262">
        <f t="shared" si="835"/>
        <v>0</v>
      </c>
      <c r="BO134" s="298">
        <f t="shared" si="797"/>
        <v>0</v>
      </c>
      <c r="BP134" s="299">
        <f t="shared" si="798"/>
        <v>0</v>
      </c>
      <c r="BQ134" s="262">
        <f t="shared" si="836"/>
        <v>0</v>
      </c>
    </row>
    <row r="135" spans="1:69" ht="15.75" thickBot="1">
      <c r="A135" s="788"/>
      <c r="B135" s="790"/>
      <c r="C135" s="300" t="s">
        <v>34</v>
      </c>
      <c r="D135" s="301">
        <f t="shared" si="837"/>
        <v>0</v>
      </c>
      <c r="E135" s="302">
        <f t="shared" si="161"/>
        <v>1735551</v>
      </c>
      <c r="F135" s="303">
        <f t="shared" si="578"/>
        <v>1735551</v>
      </c>
      <c r="G135" s="304">
        <f t="shared" si="799"/>
        <v>0</v>
      </c>
      <c r="H135" s="305">
        <f t="shared" si="774"/>
        <v>0</v>
      </c>
      <c r="I135" s="267">
        <f t="shared" si="800"/>
        <v>0</v>
      </c>
      <c r="J135" s="304">
        <f t="shared" si="801"/>
        <v>0</v>
      </c>
      <c r="K135" s="305">
        <f t="shared" si="802"/>
        <v>0</v>
      </c>
      <c r="L135" s="267">
        <f t="shared" si="803"/>
        <v>0</v>
      </c>
      <c r="M135" s="304">
        <f t="shared" si="804"/>
        <v>0</v>
      </c>
      <c r="N135" s="305">
        <f t="shared" si="805"/>
        <v>1735551</v>
      </c>
      <c r="O135" s="267">
        <f t="shared" si="806"/>
        <v>1735551</v>
      </c>
      <c r="P135" s="304">
        <f t="shared" si="775"/>
        <v>0</v>
      </c>
      <c r="Q135" s="305">
        <f t="shared" si="776"/>
        <v>0</v>
      </c>
      <c r="R135" s="267">
        <f t="shared" si="807"/>
        <v>0</v>
      </c>
      <c r="S135" s="304">
        <f t="shared" si="777"/>
        <v>0</v>
      </c>
      <c r="T135" s="305">
        <f t="shared" si="778"/>
        <v>0</v>
      </c>
      <c r="U135" s="267">
        <f t="shared" si="808"/>
        <v>0</v>
      </c>
      <c r="V135" s="304">
        <f t="shared" si="779"/>
        <v>0</v>
      </c>
      <c r="W135" s="305">
        <f t="shared" si="780"/>
        <v>0</v>
      </c>
      <c r="X135" s="267">
        <f t="shared" si="809"/>
        <v>0</v>
      </c>
      <c r="Y135" s="304">
        <f t="shared" si="810"/>
        <v>0</v>
      </c>
      <c r="Z135" s="305">
        <f t="shared" si="811"/>
        <v>0</v>
      </c>
      <c r="AA135" s="267">
        <f t="shared" si="812"/>
        <v>0</v>
      </c>
      <c r="AB135" s="304">
        <f t="shared" si="813"/>
        <v>0</v>
      </c>
      <c r="AC135" s="305">
        <f t="shared" si="814"/>
        <v>0</v>
      </c>
      <c r="AD135" s="267">
        <f t="shared" si="815"/>
        <v>0</v>
      </c>
      <c r="AE135" s="304">
        <f t="shared" si="781"/>
        <v>0</v>
      </c>
      <c r="AF135" s="305">
        <f t="shared" si="782"/>
        <v>0</v>
      </c>
      <c r="AG135" s="267">
        <f t="shared" si="816"/>
        <v>0</v>
      </c>
      <c r="AH135" s="304">
        <f t="shared" si="783"/>
        <v>0</v>
      </c>
      <c r="AI135" s="305">
        <f t="shared" si="784"/>
        <v>0</v>
      </c>
      <c r="AJ135" s="267">
        <f t="shared" si="817"/>
        <v>0</v>
      </c>
      <c r="AK135" s="304">
        <f t="shared" si="785"/>
        <v>0</v>
      </c>
      <c r="AL135" s="305">
        <f t="shared" si="786"/>
        <v>0</v>
      </c>
      <c r="AM135" s="267">
        <f t="shared" si="818"/>
        <v>0</v>
      </c>
      <c r="AN135" s="304">
        <f t="shared" si="819"/>
        <v>0</v>
      </c>
      <c r="AO135" s="305">
        <f t="shared" si="820"/>
        <v>0</v>
      </c>
      <c r="AP135" s="267">
        <f t="shared" si="821"/>
        <v>0</v>
      </c>
      <c r="AQ135" s="304">
        <f t="shared" si="822"/>
        <v>0</v>
      </c>
      <c r="AR135" s="305">
        <f t="shared" si="823"/>
        <v>0</v>
      </c>
      <c r="AS135" s="267">
        <f t="shared" si="824"/>
        <v>0</v>
      </c>
      <c r="AT135" s="304">
        <f t="shared" si="787"/>
        <v>0</v>
      </c>
      <c r="AU135" s="305">
        <f t="shared" si="788"/>
        <v>0</v>
      </c>
      <c r="AV135" s="267">
        <f t="shared" si="825"/>
        <v>0</v>
      </c>
      <c r="AW135" s="304">
        <f t="shared" si="789"/>
        <v>0</v>
      </c>
      <c r="AX135" s="305">
        <f t="shared" si="790"/>
        <v>0</v>
      </c>
      <c r="AY135" s="267">
        <f t="shared" si="826"/>
        <v>0</v>
      </c>
      <c r="AZ135" s="304">
        <f t="shared" si="791"/>
        <v>0</v>
      </c>
      <c r="BA135" s="305">
        <f t="shared" si="792"/>
        <v>0</v>
      </c>
      <c r="BB135" s="267">
        <f t="shared" si="827"/>
        <v>0</v>
      </c>
      <c r="BC135" s="304">
        <f t="shared" si="828"/>
        <v>0</v>
      </c>
      <c r="BD135" s="305">
        <f t="shared" si="829"/>
        <v>0</v>
      </c>
      <c r="BE135" s="267">
        <f t="shared" si="830"/>
        <v>0</v>
      </c>
      <c r="BF135" s="304">
        <f t="shared" si="831"/>
        <v>0</v>
      </c>
      <c r="BG135" s="305">
        <f t="shared" si="832"/>
        <v>0</v>
      </c>
      <c r="BH135" s="267">
        <f t="shared" si="833"/>
        <v>0</v>
      </c>
      <c r="BI135" s="304">
        <f t="shared" si="793"/>
        <v>0</v>
      </c>
      <c r="BJ135" s="305">
        <f t="shared" si="794"/>
        <v>0</v>
      </c>
      <c r="BK135" s="267">
        <f t="shared" si="834"/>
        <v>0</v>
      </c>
      <c r="BL135" s="304">
        <f t="shared" si="795"/>
        <v>0</v>
      </c>
      <c r="BM135" s="305">
        <f t="shared" si="796"/>
        <v>0</v>
      </c>
      <c r="BN135" s="267">
        <f t="shared" si="835"/>
        <v>0</v>
      </c>
      <c r="BO135" s="304">
        <f t="shared" si="797"/>
        <v>0</v>
      </c>
      <c r="BP135" s="305">
        <f t="shared" si="798"/>
        <v>0</v>
      </c>
      <c r="BQ135" s="267">
        <f t="shared" si="836"/>
        <v>0</v>
      </c>
    </row>
  </sheetData>
  <sheetProtection insertColumns="0" deleteColumns="0"/>
  <mergeCells count="71">
    <mergeCell ref="A25:A34"/>
    <mergeCell ref="B25:B34"/>
    <mergeCell ref="A35:A44"/>
    <mergeCell ref="B35:B44"/>
    <mergeCell ref="A55:A64"/>
    <mergeCell ref="B55:B64"/>
    <mergeCell ref="A45:A54"/>
    <mergeCell ref="B45:B54"/>
    <mergeCell ref="A15:A24"/>
    <mergeCell ref="B15:B24"/>
    <mergeCell ref="BI2:BK2"/>
    <mergeCell ref="D2:F2"/>
    <mergeCell ref="G2:I2"/>
    <mergeCell ref="G3:I3"/>
    <mergeCell ref="BI3:BK3"/>
    <mergeCell ref="AT3:AV3"/>
    <mergeCell ref="AW3:AY3"/>
    <mergeCell ref="AZ3:BB3"/>
    <mergeCell ref="J2:L2"/>
    <mergeCell ref="M2:O2"/>
    <mergeCell ref="P2:R2"/>
    <mergeCell ref="S2:U2"/>
    <mergeCell ref="AQ3:AS3"/>
    <mergeCell ref="AB2:AD2"/>
    <mergeCell ref="A66:A75"/>
    <mergeCell ref="B66:B75"/>
    <mergeCell ref="A126:A135"/>
    <mergeCell ref="B126:B135"/>
    <mergeCell ref="A106:A115"/>
    <mergeCell ref="B106:B115"/>
    <mergeCell ref="A86:A95"/>
    <mergeCell ref="B86:B95"/>
    <mergeCell ref="A116:A125"/>
    <mergeCell ref="B116:B125"/>
    <mergeCell ref="A96:A105"/>
    <mergeCell ref="B96:B105"/>
    <mergeCell ref="A76:A85"/>
    <mergeCell ref="B76:B85"/>
    <mergeCell ref="BO3:BQ3"/>
    <mergeCell ref="BL2:BN2"/>
    <mergeCell ref="BO2:BQ2"/>
    <mergeCell ref="BC2:BE2"/>
    <mergeCell ref="BC3:BE3"/>
    <mergeCell ref="BF2:BH2"/>
    <mergeCell ref="BF3:BH3"/>
    <mergeCell ref="A5:A14"/>
    <mergeCell ref="AH2:AJ2"/>
    <mergeCell ref="A1:F1"/>
    <mergeCell ref="BL3:BN3"/>
    <mergeCell ref="AN2:AP2"/>
    <mergeCell ref="AQ2:AS2"/>
    <mergeCell ref="AT2:AV2"/>
    <mergeCell ref="AW2:AY2"/>
    <mergeCell ref="AZ2:BB2"/>
    <mergeCell ref="B5:B14"/>
    <mergeCell ref="AE2:AG2"/>
    <mergeCell ref="AN3:AP3"/>
    <mergeCell ref="G1:BQ1"/>
    <mergeCell ref="AK2:AM2"/>
    <mergeCell ref="J3:L3"/>
    <mergeCell ref="M3:O3"/>
    <mergeCell ref="P3:R3"/>
    <mergeCell ref="S3:U3"/>
    <mergeCell ref="V3:X3"/>
    <mergeCell ref="Y3:AA3"/>
    <mergeCell ref="AB3:AD3"/>
    <mergeCell ref="AE3:AG3"/>
    <mergeCell ref="AH3:AJ3"/>
    <mergeCell ref="AK3:AM3"/>
    <mergeCell ref="V2:X2"/>
    <mergeCell ref="Y2:AA2"/>
  </mergeCells>
  <pageMargins left="0.7" right="0.7" top="0.75" bottom="0.75" header="0.3" footer="0.3"/>
  <pageSetup paperSize="9" scale="33"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árok24">
    <tabColor rgb="FFFFC000"/>
  </sheetPr>
  <dimension ref="A1:O23"/>
  <sheetViews>
    <sheetView workbookViewId="0">
      <selection activeCell="O8" sqref="O8"/>
    </sheetView>
  </sheetViews>
  <sheetFormatPr defaultColWidth="8.7109375" defaultRowHeight="12.75"/>
  <cols>
    <col min="1" max="1" width="8.7109375" style="412"/>
    <col min="2" max="2" width="20.42578125" style="412" bestFit="1" customWidth="1"/>
    <col min="3" max="13" width="10.140625" style="412" customWidth="1"/>
    <col min="14" max="14" width="11" style="412" customWidth="1"/>
    <col min="15" max="15" width="15.28515625" style="412" customWidth="1"/>
    <col min="16" max="16384" width="8.7109375" style="412"/>
  </cols>
  <sheetData>
    <row r="1" spans="1:15">
      <c r="J1" s="511">
        <f>SUM(J3:J6)</f>
        <v>3564.9999999999991</v>
      </c>
      <c r="O1" s="511">
        <f>AKTIVITY_POZICIE!K1</f>
        <v>3565</v>
      </c>
    </row>
    <row r="2" spans="1:15" s="494" customFormat="1" ht="38.25">
      <c r="A2" s="496" t="s">
        <v>271</v>
      </c>
      <c r="B2" s="495" t="s">
        <v>294</v>
      </c>
      <c r="C2" s="495" t="s">
        <v>325</v>
      </c>
      <c r="D2" s="495" t="s">
        <v>326</v>
      </c>
      <c r="E2" s="495" t="s">
        <v>327</v>
      </c>
      <c r="F2" s="495" t="s">
        <v>340</v>
      </c>
      <c r="G2" s="495" t="s">
        <v>267</v>
      </c>
      <c r="H2" s="495" t="s">
        <v>293</v>
      </c>
      <c r="I2" s="495" t="s">
        <v>339</v>
      </c>
      <c r="J2" s="495" t="s">
        <v>736</v>
      </c>
      <c r="K2" s="495" t="s">
        <v>422</v>
      </c>
      <c r="L2" s="495" t="s">
        <v>295</v>
      </c>
      <c r="M2" s="495" t="s">
        <v>423</v>
      </c>
      <c r="N2" s="495" t="s">
        <v>760</v>
      </c>
      <c r="O2" s="495" t="s">
        <v>768</v>
      </c>
    </row>
    <row r="3" spans="1:15" ht="38.25">
      <c r="A3" s="417" t="s">
        <v>272</v>
      </c>
      <c r="B3" s="668" t="s">
        <v>780</v>
      </c>
      <c r="C3" s="414">
        <f>IF(ISBLANK(B3),"",TCF_v02!$B$2)</f>
        <v>0.6</v>
      </c>
      <c r="D3" s="414">
        <f>IF(ISBLANK(B3),"",ECF_v02!$B$2)</f>
        <v>1.4</v>
      </c>
      <c r="E3" s="414">
        <f>IFERROR(VLOOKUP(B3,UAW_v02!A6:B26,2,0),"")</f>
        <v>7</v>
      </c>
      <c r="F3" s="415">
        <v>30</v>
      </c>
      <c r="G3" s="415" t="s">
        <v>296</v>
      </c>
      <c r="H3" s="414">
        <f>IFERROR(YEAR(VLOOKUP(G3,INKREMENTY!$A$2:$F$21,4,0)),"")</f>
        <v>2028</v>
      </c>
      <c r="I3" s="413">
        <f>IFERROR(VLOOKUP(G3,INKREMENTY!$A$2:$F$21,6,0),"")</f>
        <v>3</v>
      </c>
      <c r="J3" s="642">
        <f>SUM('Rozpocet - Vyvoj aplikacii'!E3:E5)</f>
        <v>2976.7749999999996</v>
      </c>
      <c r="K3" s="432">
        <v>0</v>
      </c>
      <c r="L3" s="432">
        <v>0</v>
      </c>
      <c r="M3" s="432">
        <v>0</v>
      </c>
      <c r="N3" s="510">
        <v>1</v>
      </c>
      <c r="O3" s="510">
        <f>IFERROR($O$1*J3/$J$1,"")</f>
        <v>2976.7750000000001</v>
      </c>
    </row>
    <row r="4" spans="1:15">
      <c r="A4" s="417" t="s">
        <v>273</v>
      </c>
      <c r="B4" s="416" t="s">
        <v>796</v>
      </c>
      <c r="C4" s="414">
        <f>IF(ISBLANK(B4),"",TCF_v02!$B$2)</f>
        <v>0.6</v>
      </c>
      <c r="D4" s="414">
        <f>IF(ISBLANK(B4),"",ECF_v02!$B$2)</f>
        <v>1.4</v>
      </c>
      <c r="E4" s="414">
        <f>IFERROR(VLOOKUP(B4,UAW_v02!A7:B27,2,0),"")</f>
        <v>7</v>
      </c>
      <c r="F4" s="415">
        <v>20</v>
      </c>
      <c r="G4" s="415" t="s">
        <v>296</v>
      </c>
      <c r="H4" s="414">
        <f>IFERROR(YEAR(VLOOKUP(G4,INKREMENTY!$A$2:$F$21,4,0)),"")</f>
        <v>2028</v>
      </c>
      <c r="I4" s="413">
        <f>IFERROR(VLOOKUP(G4,INKREMENTY!$A$2:$F$21,6,0),"")</f>
        <v>3</v>
      </c>
      <c r="J4" s="642">
        <f>SUM('Rozpocet - Vyvoj aplikacii'!E6:E8)</f>
        <v>240.63749999999999</v>
      </c>
      <c r="K4" s="432">
        <v>0</v>
      </c>
      <c r="L4" s="432">
        <v>0</v>
      </c>
      <c r="M4" s="432">
        <v>0</v>
      </c>
      <c r="N4" s="510">
        <v>1</v>
      </c>
      <c r="O4" s="510">
        <f>IFERROR($O$1*J4/$J$1,"")</f>
        <v>240.63750000000007</v>
      </c>
    </row>
    <row r="5" spans="1:15">
      <c r="A5" s="417" t="s">
        <v>274</v>
      </c>
      <c r="B5" s="668" t="s">
        <v>1102</v>
      </c>
      <c r="C5" s="414">
        <f>IF(ISBLANK(B5),"",TCF_v02!$B$2)</f>
        <v>0.6</v>
      </c>
      <c r="D5" s="414">
        <f>IF(ISBLANK(B5),"",ECF_v02!$B$2)</f>
        <v>1.4</v>
      </c>
      <c r="E5" s="414">
        <f>IFERROR(VLOOKUP(B5,UAW_v02!A8:B28,2,0),"")</f>
        <v>7</v>
      </c>
      <c r="F5" s="415">
        <v>20</v>
      </c>
      <c r="G5" s="415" t="s">
        <v>296</v>
      </c>
      <c r="H5" s="414">
        <f>IFERROR(YEAR(VLOOKUP(G5,INKREMENTY!$A$2:$F$21,4,0)),"")</f>
        <v>2028</v>
      </c>
      <c r="I5" s="413">
        <f>IFERROR(VLOOKUP(G5,INKREMENTY!$A$2:$F$21,6,0),"")</f>
        <v>3</v>
      </c>
      <c r="J5" s="642">
        <f>SUM('Rozpocet - Vyvoj aplikacii'!E9:E11)</f>
        <v>240.63749999999999</v>
      </c>
      <c r="K5" s="432">
        <v>0</v>
      </c>
      <c r="L5" s="432">
        <v>0</v>
      </c>
      <c r="M5" s="432">
        <v>0</v>
      </c>
      <c r="N5" s="510">
        <v>1</v>
      </c>
      <c r="O5" s="510">
        <f t="shared" ref="O5:O6" si="0">IFERROR($O$1*J5/$J$1,"")</f>
        <v>240.63750000000007</v>
      </c>
    </row>
    <row r="6" spans="1:15">
      <c r="A6" s="417" t="s">
        <v>275</v>
      </c>
      <c r="B6" s="416" t="s">
        <v>797</v>
      </c>
      <c r="C6" s="414">
        <f>IF(ISBLANK(B6),"",TCF_v02!$B$2)</f>
        <v>0.6</v>
      </c>
      <c r="D6" s="414">
        <f>IF(ISBLANK(B6),"",ECF_v02!$B$2)</f>
        <v>1.4</v>
      </c>
      <c r="E6" s="414">
        <f>IFERROR(VLOOKUP(B6,UAW_v02!A9:B29,2,0),"")</f>
        <v>7</v>
      </c>
      <c r="F6" s="415">
        <v>20</v>
      </c>
      <c r="G6" s="415" t="s">
        <v>296</v>
      </c>
      <c r="H6" s="414">
        <f>IFERROR(YEAR(VLOOKUP(G6,INKREMENTY!$A$2:$F$21,4,0)),"")</f>
        <v>2028</v>
      </c>
      <c r="I6" s="413">
        <f>IFERROR(VLOOKUP(G6,INKREMENTY!$A$2:$F$21,6,0),"")</f>
        <v>3</v>
      </c>
      <c r="J6" s="642">
        <f>SUM('Rozpocet - Vyvoj aplikacii'!E12:E14)</f>
        <v>106.94999999999999</v>
      </c>
      <c r="K6" s="432">
        <v>0</v>
      </c>
      <c r="L6" s="432">
        <v>0</v>
      </c>
      <c r="M6" s="432">
        <v>0</v>
      </c>
      <c r="N6" s="510">
        <v>1</v>
      </c>
      <c r="O6" s="510">
        <f t="shared" si="0"/>
        <v>106.95000000000002</v>
      </c>
    </row>
    <row r="7" spans="1:15">
      <c r="A7" s="417" t="s">
        <v>276</v>
      </c>
      <c r="B7" s="416"/>
      <c r="C7" s="414" t="str">
        <f>IF(ISBLANK(B7),"",TCF_v02!$B$2)</f>
        <v/>
      </c>
      <c r="D7" s="414" t="str">
        <f>IF(ISBLANK(B7),"",ECF_v02!$B$2)</f>
        <v/>
      </c>
      <c r="E7" s="414" t="str">
        <f>IFERROR(VLOOKUP(B7,UAW_v02!A10:B30,2,0),"")</f>
        <v/>
      </c>
      <c r="F7" s="415"/>
      <c r="G7" s="415"/>
      <c r="H7" s="414" t="str">
        <f>IFERROR(YEAR(VLOOKUP(G7,INKREMENTY!$A$2:$F$21,4,0)),"")</f>
        <v/>
      </c>
      <c r="I7" s="413" t="str">
        <f>IFERROR(VLOOKUP(G7,INKREMENTY!$A$2:$F$21,6,0),"")</f>
        <v/>
      </c>
      <c r="J7" s="642"/>
      <c r="K7" s="432"/>
      <c r="L7" s="432"/>
      <c r="M7" s="432"/>
      <c r="N7" s="510"/>
      <c r="O7" s="510"/>
    </row>
    <row r="8" spans="1:15">
      <c r="A8" s="417" t="s">
        <v>277</v>
      </c>
      <c r="B8" s="416"/>
      <c r="C8" s="414" t="str">
        <f>IF(ISBLANK(B8),"",TCF_v02!$B$2)</f>
        <v/>
      </c>
      <c r="D8" s="414" t="str">
        <f>IF(ISBLANK(B8),"",ECF_v02!$B$2)</f>
        <v/>
      </c>
      <c r="E8" s="414" t="str">
        <f>IFERROR(VLOOKUP(B8,UAW_v02!A11:B31,2,0),"")</f>
        <v/>
      </c>
      <c r="F8" s="415"/>
      <c r="G8" s="415"/>
      <c r="H8" s="414" t="str">
        <f>IFERROR(YEAR(VLOOKUP(G8,INKREMENTY!$A$2:$F$21,4,0)),"")</f>
        <v/>
      </c>
      <c r="I8" s="413" t="str">
        <f>IFERROR(VLOOKUP(G8,INKREMENTY!$A$2:$F$21,6,0),"")</f>
        <v/>
      </c>
      <c r="J8" s="642"/>
      <c r="K8" s="415"/>
      <c r="L8" s="415"/>
      <c r="M8" s="415"/>
      <c r="N8" s="510"/>
      <c r="O8" s="510"/>
    </row>
    <row r="9" spans="1:15">
      <c r="A9" s="417" t="s">
        <v>278</v>
      </c>
      <c r="B9" s="416"/>
      <c r="C9" s="414" t="str">
        <f>IF(ISBLANK(B9),"",TCF_v02!$B$2)</f>
        <v/>
      </c>
      <c r="D9" s="414" t="str">
        <f>IF(ISBLANK(B9),"",ECF_v02!$B$2)</f>
        <v/>
      </c>
      <c r="E9" s="414" t="str">
        <f>IFERROR(VLOOKUP(B9,UAW_v02!A12:B32,2,0),"")</f>
        <v/>
      </c>
      <c r="F9" s="415"/>
      <c r="G9" s="415"/>
      <c r="H9" s="414" t="str">
        <f>IFERROR(YEAR(VLOOKUP(G9,INKREMENTY!$A$2:$F$21,4,0)),"")</f>
        <v/>
      </c>
      <c r="I9" s="413" t="str">
        <f>IFERROR(VLOOKUP(G9,INKREMENTY!$A$2:$F$21,6,0),"")</f>
        <v/>
      </c>
      <c r="J9" s="642"/>
      <c r="K9" s="415"/>
      <c r="L9" s="415"/>
      <c r="M9" s="415"/>
      <c r="N9" s="510"/>
      <c r="O9" s="510"/>
    </row>
    <row r="10" spans="1:15">
      <c r="A10" s="417" t="s">
        <v>279</v>
      </c>
      <c r="B10" s="416"/>
      <c r="C10" s="414" t="str">
        <f>IF(ISBLANK(B10),"",TCF_v02!$B$2)</f>
        <v/>
      </c>
      <c r="D10" s="414" t="str">
        <f>IF(ISBLANK(B10),"",ECF_v02!$B$2)</f>
        <v/>
      </c>
      <c r="E10" s="414" t="str">
        <f>IFERROR(VLOOKUP(B10,UAW_v02!A13:B33,2,0),"")</f>
        <v/>
      </c>
      <c r="F10" s="415"/>
      <c r="G10" s="415"/>
      <c r="H10" s="414" t="str">
        <f>IFERROR(YEAR(VLOOKUP(G10,INKREMENTY!$A$2:$F$21,4,0)),"")</f>
        <v/>
      </c>
      <c r="I10" s="413" t="str">
        <f>IFERROR(VLOOKUP(G10,INKREMENTY!$A$2:$F$21,6,0),"")</f>
        <v/>
      </c>
      <c r="J10" s="642"/>
      <c r="K10" s="415"/>
      <c r="L10" s="415"/>
      <c r="M10" s="415"/>
      <c r="N10" s="510"/>
      <c r="O10" s="510"/>
    </row>
    <row r="11" spans="1:15">
      <c r="A11" s="417" t="s">
        <v>280</v>
      </c>
      <c r="B11" s="416"/>
      <c r="C11" s="414" t="str">
        <f>IF(ISBLANK(B11),"",TCF_v02!$B$2)</f>
        <v/>
      </c>
      <c r="D11" s="414" t="str">
        <f>IF(ISBLANK(B11),"",ECF_v02!$B$2)</f>
        <v/>
      </c>
      <c r="E11" s="414" t="str">
        <f>IFERROR(VLOOKUP(B11,UAW_v02!A14:B34,2,0),"")</f>
        <v/>
      </c>
      <c r="F11" s="415"/>
      <c r="G11" s="415"/>
      <c r="H11" s="414" t="str">
        <f>IFERROR(YEAR(VLOOKUP(G11,INKREMENTY!$A$2:$F$21,4,0)),"")</f>
        <v/>
      </c>
      <c r="I11" s="413" t="str">
        <f>IFERROR(VLOOKUP(G11,INKREMENTY!$A$2:$F$21,6,0),"")</f>
        <v/>
      </c>
      <c r="J11" s="642"/>
      <c r="K11" s="415"/>
      <c r="L11" s="415"/>
      <c r="M11" s="415"/>
      <c r="N11" s="510"/>
      <c r="O11" s="510"/>
    </row>
    <row r="12" spans="1:15">
      <c r="A12" s="417" t="s">
        <v>281</v>
      </c>
      <c r="B12" s="416"/>
      <c r="C12" s="414" t="str">
        <f>IF(ISBLANK(B12),"",TCF_v02!$B$2)</f>
        <v/>
      </c>
      <c r="D12" s="414" t="str">
        <f>IF(ISBLANK(B12),"",ECF_v02!$B$2)</f>
        <v/>
      </c>
      <c r="E12" s="414" t="str">
        <f>IFERROR(VLOOKUP(B12,UAW_v02!A15:B35,2,0),"")</f>
        <v/>
      </c>
      <c r="F12" s="415"/>
      <c r="G12" s="415"/>
      <c r="H12" s="414" t="str">
        <f>IFERROR(YEAR(VLOOKUP(G12,INKREMENTY!$A$2:$F$21,4,0)),"")</f>
        <v/>
      </c>
      <c r="I12" s="413" t="str">
        <f>IFERROR(VLOOKUP(G12,INKREMENTY!$A$2:$F$21,6,0),"")</f>
        <v/>
      </c>
      <c r="J12" s="642"/>
      <c r="K12" s="415"/>
      <c r="L12" s="415"/>
      <c r="M12" s="415"/>
      <c r="N12" s="510"/>
      <c r="O12" s="510"/>
    </row>
    <row r="13" spans="1:15">
      <c r="A13" s="417" t="s">
        <v>282</v>
      </c>
      <c r="B13" s="416"/>
      <c r="C13" s="414" t="str">
        <f>IF(ISBLANK(B13),"",TCF_v02!$B$2)</f>
        <v/>
      </c>
      <c r="D13" s="414" t="str">
        <f>IF(ISBLANK(B13),"",ECF_v02!$B$2)</f>
        <v/>
      </c>
      <c r="E13" s="414" t="str">
        <f>IFERROR(VLOOKUP(B13,UAW_v02!A16:B36,2,0),"")</f>
        <v/>
      </c>
      <c r="F13" s="415"/>
      <c r="G13" s="415"/>
      <c r="H13" s="414" t="str">
        <f>IFERROR(YEAR(VLOOKUP(G13,INKREMENTY!$A$2:$F$21,4,0)),"")</f>
        <v/>
      </c>
      <c r="I13" s="413" t="str">
        <f>IFERROR(VLOOKUP(G13,INKREMENTY!$A$2:$F$21,6,0),"")</f>
        <v/>
      </c>
      <c r="J13" s="642"/>
      <c r="K13" s="415"/>
      <c r="L13" s="415"/>
      <c r="M13" s="415"/>
      <c r="N13" s="510"/>
      <c r="O13" s="510"/>
    </row>
    <row r="14" spans="1:15">
      <c r="A14" s="417" t="s">
        <v>283</v>
      </c>
      <c r="B14" s="416"/>
      <c r="C14" s="414" t="str">
        <f>IF(ISBLANK(B14),"",TCF_v02!$B$2)</f>
        <v/>
      </c>
      <c r="D14" s="414" t="str">
        <f>IF(ISBLANK(B14),"",ECF_v02!$B$2)</f>
        <v/>
      </c>
      <c r="E14" s="414" t="str">
        <f>IFERROR(VLOOKUP(B14,UAW_v02!A17:B37,2,0),"")</f>
        <v/>
      </c>
      <c r="F14" s="415"/>
      <c r="G14" s="415"/>
      <c r="H14" s="414" t="str">
        <f>IFERROR(YEAR(VLOOKUP(G14,INKREMENTY!$A$2:$F$21,4,0)),"")</f>
        <v/>
      </c>
      <c r="I14" s="413" t="str">
        <f>IFERROR(VLOOKUP(G14,INKREMENTY!$A$2:$F$21,6,0),"")</f>
        <v/>
      </c>
      <c r="J14" s="642"/>
      <c r="K14" s="415"/>
      <c r="L14" s="415"/>
      <c r="M14" s="415"/>
      <c r="N14" s="510"/>
      <c r="O14" s="510"/>
    </row>
    <row r="15" spans="1:15">
      <c r="A15" s="417" t="s">
        <v>284</v>
      </c>
      <c r="B15" s="416"/>
      <c r="C15" s="414" t="str">
        <f>IF(ISBLANK(B15),"",TCF_v02!$B$2)</f>
        <v/>
      </c>
      <c r="D15" s="414" t="str">
        <f>IF(ISBLANK(B15),"",ECF_v02!$B$2)</f>
        <v/>
      </c>
      <c r="E15" s="414" t="str">
        <f>IFERROR(VLOOKUP(B15,UAW_v02!A18:B38,2,0),"")</f>
        <v/>
      </c>
      <c r="F15" s="415"/>
      <c r="G15" s="415"/>
      <c r="H15" s="414" t="str">
        <f>IFERROR(YEAR(VLOOKUP(G15,INKREMENTY!$A$2:$F$21,4,0)),"")</f>
        <v/>
      </c>
      <c r="I15" s="413" t="str">
        <f>IFERROR(VLOOKUP(G15,INKREMENTY!$A$2:$F$21,6,0),"")</f>
        <v/>
      </c>
      <c r="J15" s="642"/>
      <c r="K15" s="415"/>
      <c r="L15" s="415"/>
      <c r="M15" s="415"/>
      <c r="N15" s="510"/>
      <c r="O15" s="510"/>
    </row>
    <row r="16" spans="1:15">
      <c r="A16" s="417" t="s">
        <v>285</v>
      </c>
      <c r="B16" s="416"/>
      <c r="C16" s="414" t="str">
        <f>IF(ISBLANK(B16),"",TCF_v02!$B$2)</f>
        <v/>
      </c>
      <c r="D16" s="414" t="str">
        <f>IF(ISBLANK(B16),"",ECF_v02!$B$2)</f>
        <v/>
      </c>
      <c r="E16" s="414" t="str">
        <f>IFERROR(VLOOKUP(B16,UAW_v02!A19:B39,2,0),"")</f>
        <v/>
      </c>
      <c r="F16" s="415"/>
      <c r="G16" s="415"/>
      <c r="H16" s="414" t="str">
        <f>IFERROR(YEAR(VLOOKUP(G16,INKREMENTY!$A$2:$F$21,4,0)),"")</f>
        <v/>
      </c>
      <c r="I16" s="413" t="str">
        <f>IFERROR(VLOOKUP(G16,INKREMENTY!$A$2:$F$21,6,0),"")</f>
        <v/>
      </c>
      <c r="J16" s="642"/>
      <c r="K16" s="415"/>
      <c r="L16" s="415"/>
      <c r="M16" s="415"/>
      <c r="N16" s="510"/>
      <c r="O16" s="510"/>
    </row>
    <row r="17" spans="1:15">
      <c r="A17" s="417" t="s">
        <v>286</v>
      </c>
      <c r="B17" s="416"/>
      <c r="C17" s="414" t="str">
        <f>IF(ISBLANK(B17),"",TCF_v02!$B$2)</f>
        <v/>
      </c>
      <c r="D17" s="414" t="str">
        <f>IF(ISBLANK(B17),"",ECF_v02!$B$2)</f>
        <v/>
      </c>
      <c r="E17" s="414" t="str">
        <f>IFERROR(VLOOKUP(B17,UAW_v02!A20:B40,2,0),"")</f>
        <v/>
      </c>
      <c r="F17" s="415"/>
      <c r="G17" s="415"/>
      <c r="H17" s="414" t="str">
        <f>IFERROR(YEAR(VLOOKUP(G17,INKREMENTY!$A$2:$F$21,4,0)),"")</f>
        <v/>
      </c>
      <c r="I17" s="413" t="str">
        <f>IFERROR(VLOOKUP(G17,INKREMENTY!$A$2:$F$21,6,0),"")</f>
        <v/>
      </c>
      <c r="J17" s="642"/>
      <c r="K17" s="415"/>
      <c r="L17" s="415"/>
      <c r="M17" s="415"/>
      <c r="N17" s="510"/>
      <c r="O17" s="510"/>
    </row>
    <row r="18" spans="1:15">
      <c r="A18" s="417" t="s">
        <v>287</v>
      </c>
      <c r="B18" s="416"/>
      <c r="C18" s="414" t="str">
        <f>IF(ISBLANK(B18),"",TCF_v02!$B$2)</f>
        <v/>
      </c>
      <c r="D18" s="414" t="str">
        <f>IF(ISBLANK(B18),"",ECF_v02!$B$2)</f>
        <v/>
      </c>
      <c r="E18" s="414" t="str">
        <f>IFERROR(VLOOKUP(B18,UAW_v02!A21:B41,2,0),"")</f>
        <v/>
      </c>
      <c r="F18" s="415"/>
      <c r="G18" s="415"/>
      <c r="H18" s="414" t="str">
        <f>IFERROR(YEAR(VLOOKUP(G18,INKREMENTY!$A$2:$F$21,4,0)),"")</f>
        <v/>
      </c>
      <c r="I18" s="413" t="str">
        <f>IFERROR(VLOOKUP(G18,INKREMENTY!$A$2:$F$21,6,0),"")</f>
        <v/>
      </c>
      <c r="J18" s="642"/>
      <c r="K18" s="415"/>
      <c r="L18" s="415"/>
      <c r="M18" s="415"/>
      <c r="N18" s="510"/>
      <c r="O18" s="510"/>
    </row>
    <row r="19" spans="1:15">
      <c r="A19" s="417" t="s">
        <v>288</v>
      </c>
      <c r="B19" s="416"/>
      <c r="C19" s="414" t="str">
        <f>IF(ISBLANK(B19),"",TCF_v02!$B$2)</f>
        <v/>
      </c>
      <c r="D19" s="414" t="str">
        <f>IF(ISBLANK(B19),"",ECF_v02!$B$2)</f>
        <v/>
      </c>
      <c r="E19" s="414" t="str">
        <f>IFERROR(VLOOKUP(B19,UAW_v02!A22:B42,2,0),"")</f>
        <v/>
      </c>
      <c r="F19" s="415"/>
      <c r="G19" s="415"/>
      <c r="H19" s="414" t="str">
        <f>IFERROR(YEAR(VLOOKUP(G19,INKREMENTY!$A$2:$F$21,4,0)),"")</f>
        <v/>
      </c>
      <c r="I19" s="413" t="str">
        <f>IFERROR(VLOOKUP(G19,INKREMENTY!$A$2:$F$21,6,0),"")</f>
        <v/>
      </c>
      <c r="J19" s="642"/>
      <c r="K19" s="415"/>
      <c r="L19" s="415"/>
      <c r="M19" s="415"/>
      <c r="N19" s="510"/>
      <c r="O19" s="510"/>
    </row>
    <row r="20" spans="1:15">
      <c r="A20" s="417" t="s">
        <v>289</v>
      </c>
      <c r="B20" s="416"/>
      <c r="C20" s="414" t="str">
        <f>IF(ISBLANK(B20),"",TCF_v02!$B$2)</f>
        <v/>
      </c>
      <c r="D20" s="414" t="str">
        <f>IF(ISBLANK(B20),"",ECF_v02!$B$2)</f>
        <v/>
      </c>
      <c r="E20" s="414" t="str">
        <f>IFERROR(VLOOKUP(B20,UAW_v02!A23:B43,2,0),"")</f>
        <v/>
      </c>
      <c r="F20" s="415"/>
      <c r="G20" s="415"/>
      <c r="H20" s="414" t="str">
        <f>IFERROR(YEAR(VLOOKUP(G20,INKREMENTY!$A$2:$F$21,4,0)),"")</f>
        <v/>
      </c>
      <c r="I20" s="413" t="str">
        <f>IFERROR(VLOOKUP(G20,INKREMENTY!$A$2:$F$21,6,0),"")</f>
        <v/>
      </c>
      <c r="J20" s="642"/>
      <c r="K20" s="415"/>
      <c r="L20" s="415"/>
      <c r="M20" s="415"/>
      <c r="N20" s="510"/>
      <c r="O20" s="510"/>
    </row>
    <row r="21" spans="1:15">
      <c r="A21" s="417" t="s">
        <v>290</v>
      </c>
      <c r="B21" s="416"/>
      <c r="C21" s="414" t="str">
        <f>IF(ISBLANK(B21),"",TCF_v02!$B$2)</f>
        <v/>
      </c>
      <c r="D21" s="414" t="str">
        <f>IF(ISBLANK(B21),"",ECF_v02!$B$2)</f>
        <v/>
      </c>
      <c r="E21" s="414" t="str">
        <f>IFERROR(VLOOKUP(B21,UAW_v02!A24:B44,2,0),"")</f>
        <v/>
      </c>
      <c r="F21" s="415"/>
      <c r="G21" s="415"/>
      <c r="H21" s="414" t="str">
        <f>IFERROR(YEAR(VLOOKUP(G21,INKREMENTY!$A$2:$F$21,4,0)),"")</f>
        <v/>
      </c>
      <c r="I21" s="413" t="str">
        <f>IFERROR(VLOOKUP(G21,INKREMENTY!$A$2:$F$21,6,0),"")</f>
        <v/>
      </c>
      <c r="J21" s="642"/>
      <c r="K21" s="415"/>
      <c r="L21" s="415"/>
      <c r="M21" s="415"/>
      <c r="N21" s="510"/>
      <c r="O21" s="510"/>
    </row>
    <row r="22" spans="1:15">
      <c r="A22" s="417" t="s">
        <v>291</v>
      </c>
      <c r="B22" s="416"/>
      <c r="C22" s="414" t="str">
        <f>IF(ISBLANK(B22),"",TCF_v02!$B$2)</f>
        <v/>
      </c>
      <c r="D22" s="414" t="str">
        <f>IF(ISBLANK(B22),"",ECF_v02!$B$2)</f>
        <v/>
      </c>
      <c r="E22" s="414" t="str">
        <f>IFERROR(VLOOKUP(B22,UAW_v02!A25:B45,2,0),"")</f>
        <v/>
      </c>
      <c r="F22" s="415"/>
      <c r="G22" s="415"/>
      <c r="H22" s="414" t="str">
        <f>IFERROR(YEAR(VLOOKUP(G22,INKREMENTY!$A$2:$F$21,4,0)),"")</f>
        <v/>
      </c>
      <c r="I22" s="413" t="str">
        <f>IFERROR(VLOOKUP(G22,INKREMENTY!$A$2:$F$21,6,0),"")</f>
        <v/>
      </c>
      <c r="J22" s="642"/>
      <c r="K22" s="415"/>
      <c r="L22" s="415"/>
      <c r="M22" s="415"/>
      <c r="N22" s="510"/>
      <c r="O22" s="510"/>
    </row>
    <row r="23" spans="1:15">
      <c r="A23" s="417" t="s">
        <v>292</v>
      </c>
      <c r="B23" s="416"/>
      <c r="C23" s="414" t="str">
        <f>IF(ISBLANK(B23),"",TCF_v02!$B$2)</f>
        <v/>
      </c>
      <c r="D23" s="414" t="str">
        <f>IF(ISBLANK(B23),"",ECF_v02!$B$2)</f>
        <v/>
      </c>
      <c r="E23" s="414" t="str">
        <f>IFERROR(VLOOKUP(B23,UAW_v02!A26:B46,2,0),"")</f>
        <v/>
      </c>
      <c r="F23" s="415"/>
      <c r="G23" s="415"/>
      <c r="H23" s="414" t="str">
        <f>IFERROR(YEAR(VLOOKUP(G23,INKREMENTY!$A$2:$F$21,4,0)),"")</f>
        <v/>
      </c>
      <c r="I23" s="413" t="str">
        <f>IFERROR(VLOOKUP(G23,INKREMENTY!$A$2:$F$21,6,0),"")</f>
        <v/>
      </c>
      <c r="J23" s="642"/>
      <c r="K23" s="415"/>
      <c r="L23" s="415"/>
      <c r="M23" s="415"/>
      <c r="N23" s="510"/>
      <c r="O23" s="510"/>
    </row>
  </sheetData>
  <conditionalFormatting sqref="K3:K23">
    <cfRule type="cellIs" dxfId="20" priority="1" operator="greaterThan">
      <formula>0.1</formula>
    </cfRule>
  </conditionalFormatting>
  <dataValidations disablePrompts="1" count="2">
    <dataValidation type="list" allowBlank="1" showInputMessage="1" showErrorMessage="1" sqref="G3:G23" xr:uid="{00000000-0002-0000-0800-000000000000}">
      <formula1>Inkrement</formula1>
    </dataValidation>
    <dataValidation type="list" allowBlank="1" showInputMessage="1" showErrorMessage="1" sqref="F3:F23" xr:uid="{00000000-0002-0000-0800-000001000000}">
      <formula1>"15,20,25,30"</formula1>
    </dataValidation>
  </dataValidations>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24</vt:i4>
      </vt:variant>
    </vt:vector>
  </HeadingPairs>
  <TitlesOfParts>
    <vt:vector size="57" baseType="lpstr">
      <vt:lpstr>Úvod</vt:lpstr>
      <vt:lpstr>Zoznam_Harkov</vt:lpstr>
      <vt:lpstr>Sumarizácia</vt:lpstr>
      <vt:lpstr>Zdroje Financovania</vt:lpstr>
      <vt:lpstr>CBA - Agendové IS</vt:lpstr>
      <vt:lpstr>Výdavky - Agendové IS</vt:lpstr>
      <vt:lpstr>Prínosy - Agendové IS</vt:lpstr>
      <vt:lpstr>Parametre - Agendové IS</vt:lpstr>
      <vt:lpstr>MODULY_CBA</vt:lpstr>
      <vt:lpstr>Parametre_ECF_TCF</vt:lpstr>
      <vt:lpstr>INKREMENTY</vt:lpstr>
      <vt:lpstr>KATALOG_POZIADAVKY</vt:lpstr>
      <vt:lpstr>TCF_v02</vt:lpstr>
      <vt:lpstr>ECF_v02</vt:lpstr>
      <vt:lpstr>UAW_v02</vt:lpstr>
      <vt:lpstr>AKTIVITY_POZICIE</vt:lpstr>
      <vt:lpstr>POZICIE_INTERNE</vt:lpstr>
      <vt:lpstr>Rozpocet - Vyvoj aplikacii</vt:lpstr>
      <vt:lpstr>ISCO_Prevodnik</vt:lpstr>
      <vt:lpstr>Rozpočet - HW a licencie</vt:lpstr>
      <vt:lpstr>Harmonogram</vt:lpstr>
      <vt:lpstr>TCO</vt:lpstr>
      <vt:lpstr>TCO AS IS - SW</vt:lpstr>
      <vt:lpstr>TCO AS IS - HW</vt:lpstr>
      <vt:lpstr>TCO TO BE- SW</vt:lpstr>
      <vt:lpstr>TCO TO BE - HW</vt:lpstr>
      <vt:lpstr>Faktory</vt:lpstr>
      <vt:lpstr>Ciselnik</vt:lpstr>
      <vt:lpstr>Procesné mapy</vt:lpstr>
      <vt:lpstr>Procesy - AS IS</vt:lpstr>
      <vt:lpstr>Procesy - TO BE</vt:lpstr>
      <vt:lpstr>Analyza citlivosti - AgendovéIS</vt:lpstr>
      <vt:lpstr>Rozdelenie prínosov</vt:lpstr>
      <vt:lpstr>'TCO TO BE - HW'!_ftn1</vt:lpstr>
      <vt:lpstr>'TCO TO BE - HW'!_ftnref1</vt:lpstr>
      <vt:lpstr>Bezpecnost</vt:lpstr>
      <vt:lpstr>Databazy</vt:lpstr>
      <vt:lpstr>POZICIE_INTERNE!Faza</vt:lpstr>
      <vt:lpstr>Faza</vt:lpstr>
      <vt:lpstr>Ine</vt:lpstr>
      <vt:lpstr>Infrastrutkura</vt:lpstr>
      <vt:lpstr>Inkrement</vt:lpstr>
      <vt:lpstr>IT_analytik</vt:lpstr>
      <vt:lpstr>IT_architekt</vt:lpstr>
      <vt:lpstr>IT_konzultant</vt:lpstr>
      <vt:lpstr>IT_programator</vt:lpstr>
      <vt:lpstr>IT_tester</vt:lpstr>
      <vt:lpstr>Kvalita</vt:lpstr>
      <vt:lpstr>MODULY</vt:lpstr>
      <vt:lpstr>Moduly_2</vt:lpstr>
      <vt:lpstr>POZICIE_INTERNE!Pozicia</vt:lpstr>
      <vt:lpstr>Pozicia</vt:lpstr>
      <vt:lpstr>PozicieKomplet</vt:lpstr>
      <vt:lpstr>'Procesné mapy'!Print_Area</vt:lpstr>
      <vt:lpstr>Projektovy_manazer</vt:lpstr>
      <vt:lpstr>Projektový_manažér</vt:lpstr>
      <vt:lpstr>Subjekt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2024-05-01T08:21:31Z</dcterms:created>
  <dcterms:modified xsi:type="dcterms:W3CDTF">2024-08-01T06:59:23Z</dcterms:modified>
  <cp:category/>
</cp:coreProperties>
</file>